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600" windowHeight="8445" tabRatio="677" firstSheet="4" activeTab="4"/>
  </bookViews>
  <sheets>
    <sheet name="Sheet1" sheetId="1" state="hidden" r:id="rId1"/>
    <sheet name="KADAPA" sheetId="3" state="hidden" r:id="rId2"/>
    <sheet name="KURNOOL" sheetId="4" state="hidden" r:id="rId3"/>
    <sheet name="ANANTPUR" sheetId="5" state="hidden" r:id="rId4"/>
    <sheet name="School Format" sheetId="9" r:id="rId5"/>
    <sheet name="Girls Hostels" sheetId="12" r:id="rId6"/>
  </sheets>
  <definedNames>
    <definedName name="_xlnm.Print_Area" localSheetId="4">'School Format'!$A$1:$D$91</definedName>
    <definedName name="_xlnm.Print_Titles" localSheetId="4">'School Format'!$B:$B</definedName>
  </definedNames>
  <calcPr calcId="124519"/>
</workbook>
</file>

<file path=xl/calcChain.xml><?xml version="1.0" encoding="utf-8"?>
<calcChain xmlns="http://schemas.openxmlformats.org/spreadsheetml/2006/main">
  <c r="C19" i="9"/>
  <c r="D19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43"/>
  <c r="D43"/>
  <c r="C62"/>
  <c r="C64" s="1"/>
  <c r="D62"/>
  <c r="D64"/>
  <c r="D44" i="12"/>
  <c r="C44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D20"/>
  <c r="C20"/>
  <c r="B20"/>
  <c r="D70" i="9" l="1"/>
  <c r="D72" s="1"/>
  <c r="D66"/>
  <c r="D76" s="1"/>
  <c r="C66"/>
  <c r="C76" s="1"/>
  <c r="D46" i="12"/>
  <c r="D50" s="1"/>
  <c r="D52" s="1"/>
  <c r="C46"/>
  <c r="C50" s="1"/>
  <c r="C52" s="1"/>
  <c r="C70" i="9" l="1"/>
  <c r="C72" s="1"/>
  <c r="AH18" i="4" l="1"/>
  <c r="AH10"/>
  <c r="AH12" s="1"/>
  <c r="AH9"/>
  <c r="AH25"/>
  <c r="AH23" s="1"/>
  <c r="AH21" s="1"/>
  <c r="AG19"/>
  <c r="AG28"/>
  <c r="AG27" s="1"/>
  <c r="AG21"/>
  <c r="AG25"/>
  <c r="AG23" s="1"/>
  <c r="AG10"/>
  <c r="AF10"/>
  <c r="AF12" s="1"/>
  <c r="AE10"/>
  <c r="AD10"/>
  <c r="AD12" s="1"/>
  <c r="AD18"/>
  <c r="AC10"/>
  <c r="AB10"/>
  <c r="AB25"/>
  <c r="AB9"/>
  <c r="AH27"/>
  <c r="AF27"/>
  <c r="AE27"/>
  <c r="AD27"/>
  <c r="AC27"/>
  <c r="AB27"/>
  <c r="AF23"/>
  <c r="AF21" s="1"/>
  <c r="AF31" s="1"/>
  <c r="AE23"/>
  <c r="AE21" s="1"/>
  <c r="AE31" s="1"/>
  <c r="AD23"/>
  <c r="AD21" s="1"/>
  <c r="AD31" s="1"/>
  <c r="AC23"/>
  <c r="AC21" s="1"/>
  <c r="AC31" s="1"/>
  <c r="AB23"/>
  <c r="AB21" s="1"/>
  <c r="AB31" s="1"/>
  <c r="AC12"/>
  <c r="AB12"/>
  <c r="AG12"/>
  <c r="AE12"/>
  <c r="AA25"/>
  <c r="AA27"/>
  <c r="AA23"/>
  <c r="AA21" s="1"/>
  <c r="AA12"/>
  <c r="Z10"/>
  <c r="Z18"/>
  <c r="Z24"/>
  <c r="Z23" s="1"/>
  <c r="Z21" s="1"/>
  <c r="Z25"/>
  <c r="Z9"/>
  <c r="Y20"/>
  <c r="Y18"/>
  <c r="Y10"/>
  <c r="Y9"/>
  <c r="Y12" s="1"/>
  <c r="X18"/>
  <c r="X21" s="1"/>
  <c r="X15"/>
  <c r="X9"/>
  <c r="W10"/>
  <c r="W9"/>
  <c r="S25"/>
  <c r="S10"/>
  <c r="R21"/>
  <c r="R18"/>
  <c r="R10"/>
  <c r="R12" s="1"/>
  <c r="P21"/>
  <c r="P9"/>
  <c r="P12" s="1"/>
  <c r="O9"/>
  <c r="O25"/>
  <c r="O10"/>
  <c r="N10"/>
  <c r="N9"/>
  <c r="M25"/>
  <c r="M10"/>
  <c r="M9"/>
  <c r="M12" s="1"/>
  <c r="L18"/>
  <c r="L19"/>
  <c r="L20"/>
  <c r="K10"/>
  <c r="K9"/>
  <c r="J10"/>
  <c r="J9"/>
  <c r="I28"/>
  <c r="H9"/>
  <c r="G18"/>
  <c r="G19"/>
  <c r="E25"/>
  <c r="E19"/>
  <c r="E18"/>
  <c r="E10"/>
  <c r="C25"/>
  <c r="C10"/>
  <c r="C9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Y23"/>
  <c r="Y21" s="1"/>
  <c r="X23"/>
  <c r="W23"/>
  <c r="W21" s="1"/>
  <c r="V23"/>
  <c r="V21" s="1"/>
  <c r="V31" s="1"/>
  <c r="U23"/>
  <c r="U21" s="1"/>
  <c r="T23"/>
  <c r="S23"/>
  <c r="S21" s="1"/>
  <c r="S31" s="1"/>
  <c r="R23"/>
  <c r="Q23"/>
  <c r="Q21" s="1"/>
  <c r="Q31" s="1"/>
  <c r="P23"/>
  <c r="O23"/>
  <c r="N23"/>
  <c r="N21" s="1"/>
  <c r="M23"/>
  <c r="L23"/>
  <c r="L21" s="1"/>
  <c r="K23"/>
  <c r="J23"/>
  <c r="J21" s="1"/>
  <c r="I23"/>
  <c r="I21" s="1"/>
  <c r="H23"/>
  <c r="H21" s="1"/>
  <c r="G23"/>
  <c r="G21" s="1"/>
  <c r="F23"/>
  <c r="E23"/>
  <c r="D23"/>
  <c r="C23"/>
  <c r="C21" s="1"/>
  <c r="D31"/>
  <c r="O12"/>
  <c r="I12"/>
  <c r="E12"/>
  <c r="C12"/>
  <c r="G12"/>
  <c r="Z12"/>
  <c r="X12"/>
  <c r="V12"/>
  <c r="U12"/>
  <c r="T12"/>
  <c r="S12"/>
  <c r="Q12"/>
  <c r="N12"/>
  <c r="L12"/>
  <c r="J12"/>
  <c r="H12"/>
  <c r="F12"/>
  <c r="D12"/>
  <c r="Z21" i="5"/>
  <c r="Z9"/>
  <c r="Y9"/>
  <c r="Y12" s="1"/>
  <c r="X25"/>
  <c r="X10"/>
  <c r="X12" s="1"/>
  <c r="X9"/>
  <c r="W9"/>
  <c r="V9"/>
  <c r="U9"/>
  <c r="U12" s="1"/>
  <c r="T9"/>
  <c r="S9"/>
  <c r="S12" s="1"/>
  <c r="AA27"/>
  <c r="AA31" s="1"/>
  <c r="Z27"/>
  <c r="Y27"/>
  <c r="X27"/>
  <c r="W27"/>
  <c r="V27"/>
  <c r="U27"/>
  <c r="T27"/>
  <c r="S27"/>
  <c r="Z23"/>
  <c r="Y23"/>
  <c r="Y21" s="1"/>
  <c r="X23"/>
  <c r="X21" s="1"/>
  <c r="W23"/>
  <c r="W21" s="1"/>
  <c r="W31" s="1"/>
  <c r="V23"/>
  <c r="V18" s="1"/>
  <c r="V31" s="1"/>
  <c r="U23"/>
  <c r="U21" s="1"/>
  <c r="U31" s="1"/>
  <c r="T23"/>
  <c r="T21" s="1"/>
  <c r="T31" s="1"/>
  <c r="S23"/>
  <c r="S21" s="1"/>
  <c r="Z12"/>
  <c r="AA12"/>
  <c r="W12"/>
  <c r="V12"/>
  <c r="T12"/>
  <c r="R9"/>
  <c r="Q10"/>
  <c r="Q12" s="1"/>
  <c r="Q9"/>
  <c r="P10"/>
  <c r="P9"/>
  <c r="O23"/>
  <c r="N9"/>
  <c r="M9"/>
  <c r="M12" s="1"/>
  <c r="L9"/>
  <c r="K9"/>
  <c r="K12" s="1"/>
  <c r="R27"/>
  <c r="Q27"/>
  <c r="P27"/>
  <c r="O27"/>
  <c r="N27"/>
  <c r="M27"/>
  <c r="L27"/>
  <c r="K27"/>
  <c r="R23"/>
  <c r="R21" s="1"/>
  <c r="Q23"/>
  <c r="P23"/>
  <c r="P21" s="1"/>
  <c r="N23"/>
  <c r="N21" s="1"/>
  <c r="M23"/>
  <c r="M21" s="1"/>
  <c r="L23"/>
  <c r="L21" s="1"/>
  <c r="L31" s="1"/>
  <c r="K23"/>
  <c r="K21" s="1"/>
  <c r="O31"/>
  <c r="R12"/>
  <c r="N12"/>
  <c r="L12"/>
  <c r="O12"/>
  <c r="O33" s="1"/>
  <c r="J9"/>
  <c r="I9"/>
  <c r="H9"/>
  <c r="G18"/>
  <c r="G10"/>
  <c r="G9"/>
  <c r="F9"/>
  <c r="F12" s="1"/>
  <c r="E21"/>
  <c r="E9"/>
  <c r="D20"/>
  <c r="D9"/>
  <c r="D12" s="1"/>
  <c r="C9"/>
  <c r="C21"/>
  <c r="C25"/>
  <c r="C23" s="1"/>
  <c r="J21" i="3"/>
  <c r="I21"/>
  <c r="H21"/>
  <c r="G21"/>
  <c r="F21"/>
  <c r="E21"/>
  <c r="D21"/>
  <c r="J27" i="5"/>
  <c r="I27"/>
  <c r="H27"/>
  <c r="G27"/>
  <c r="F27"/>
  <c r="E27"/>
  <c r="D27"/>
  <c r="C27"/>
  <c r="E23"/>
  <c r="J23"/>
  <c r="J21" s="1"/>
  <c r="I23"/>
  <c r="I21" s="1"/>
  <c r="H23"/>
  <c r="H21" s="1"/>
  <c r="G23"/>
  <c r="G21" s="1"/>
  <c r="F23"/>
  <c r="D23"/>
  <c r="C12"/>
  <c r="J12"/>
  <c r="I12"/>
  <c r="H12"/>
  <c r="G12"/>
  <c r="E12"/>
  <c r="J10" i="3"/>
  <c r="J12" s="1"/>
  <c r="J9"/>
  <c r="I9"/>
  <c r="H10"/>
  <c r="H9"/>
  <c r="H12" s="1"/>
  <c r="G9"/>
  <c r="G27"/>
  <c r="F9"/>
  <c r="E25"/>
  <c r="E9"/>
  <c r="D25"/>
  <c r="D23" s="1"/>
  <c r="C19"/>
  <c r="C18"/>
  <c r="C21" s="1"/>
  <c r="C9"/>
  <c r="J27"/>
  <c r="I27"/>
  <c r="H27"/>
  <c r="F27"/>
  <c r="E27"/>
  <c r="D27"/>
  <c r="C27"/>
  <c r="J23"/>
  <c r="I23"/>
  <c r="H23"/>
  <c r="G23"/>
  <c r="G31" s="1"/>
  <c r="F23"/>
  <c r="E23"/>
  <c r="C23"/>
  <c r="J31"/>
  <c r="I12"/>
  <c r="G12"/>
  <c r="F12"/>
  <c r="E12"/>
  <c r="D12"/>
  <c r="C12"/>
  <c r="B22" i="1"/>
  <c r="B8"/>
  <c r="M31" i="5" l="1"/>
  <c r="P12"/>
  <c r="R31" i="4"/>
  <c r="E21"/>
  <c r="K12"/>
  <c r="X31"/>
  <c r="I31" i="3"/>
  <c r="Q21" i="5"/>
  <c r="Q31" s="1"/>
  <c r="Q33" s="1"/>
  <c r="Q33" i="4"/>
  <c r="F21"/>
  <c r="F31" s="1"/>
  <c r="F33" s="1"/>
  <c r="AH31"/>
  <c r="D31" i="3"/>
  <c r="F21" i="5"/>
  <c r="F31" s="1"/>
  <c r="F33" s="1"/>
  <c r="T33"/>
  <c r="I31" i="4"/>
  <c r="C31"/>
  <c r="K21"/>
  <c r="K31" s="1"/>
  <c r="K33" s="1"/>
  <c r="M21"/>
  <c r="M31" s="1"/>
  <c r="M33" s="1"/>
  <c r="O21"/>
  <c r="O31" s="1"/>
  <c r="O33" s="1"/>
  <c r="T21"/>
  <c r="T31" s="1"/>
  <c r="T33" s="1"/>
  <c r="AB33"/>
  <c r="AG31"/>
  <c r="AG33" s="1"/>
  <c r="AF33"/>
  <c r="AD33"/>
  <c r="AC33"/>
  <c r="AE33"/>
  <c r="AH33"/>
  <c r="AA31"/>
  <c r="AA33" s="1"/>
  <c r="Z31"/>
  <c r="Z33" s="1"/>
  <c r="Y31"/>
  <c r="Y33" s="1"/>
  <c r="X33"/>
  <c r="W12"/>
  <c r="W31"/>
  <c r="U31"/>
  <c r="U33" s="1"/>
  <c r="S33"/>
  <c r="R33"/>
  <c r="P31"/>
  <c r="P33" s="1"/>
  <c r="N31"/>
  <c r="N33" s="1"/>
  <c r="L31"/>
  <c r="L33" s="1"/>
  <c r="J31"/>
  <c r="J33" s="1"/>
  <c r="I33"/>
  <c r="H31"/>
  <c r="H33" s="1"/>
  <c r="G31"/>
  <c r="G33" s="1"/>
  <c r="E31"/>
  <c r="E33" s="1"/>
  <c r="D33"/>
  <c r="C33"/>
  <c r="V33"/>
  <c r="AA33" i="5"/>
  <c r="Z31"/>
  <c r="Z33" s="1"/>
  <c r="Y31"/>
  <c r="Y33" s="1"/>
  <c r="X31"/>
  <c r="X33" s="1"/>
  <c r="V33"/>
  <c r="S31"/>
  <c r="S33" s="1"/>
  <c r="U33"/>
  <c r="W33"/>
  <c r="R31"/>
  <c r="R33" s="1"/>
  <c r="P31"/>
  <c r="P33" s="1"/>
  <c r="N31"/>
  <c r="N33" s="1"/>
  <c r="M33"/>
  <c r="K31"/>
  <c r="K33" s="1"/>
  <c r="L33"/>
  <c r="J31"/>
  <c r="J33" s="1"/>
  <c r="I31"/>
  <c r="I33" s="1"/>
  <c r="H31"/>
  <c r="H33" s="1"/>
  <c r="G31"/>
  <c r="G33" s="1"/>
  <c r="E31"/>
  <c r="E33" s="1"/>
  <c r="D31"/>
  <c r="D33" s="1"/>
  <c r="H31" i="3"/>
  <c r="H33" s="1"/>
  <c r="C31" i="5"/>
  <c r="C33" s="1"/>
  <c r="J33" i="3"/>
  <c r="F31"/>
  <c r="F33" s="1"/>
  <c r="E31"/>
  <c r="E33" s="1"/>
  <c r="D33"/>
  <c r="C31"/>
  <c r="C33" s="1"/>
  <c r="G33"/>
  <c r="I33"/>
  <c r="W33" i="4" l="1"/>
</calcChain>
</file>

<file path=xl/sharedStrings.xml><?xml version="1.0" encoding="utf-8"?>
<sst xmlns="http://schemas.openxmlformats.org/spreadsheetml/2006/main" count="337" uniqueCount="213">
  <si>
    <t>RECEIPTS</t>
  </si>
  <si>
    <t>TOTAL</t>
  </si>
  <si>
    <t>PAYMENTS</t>
  </si>
  <si>
    <t>KOTHAKOTA</t>
  </si>
  <si>
    <t>VELDANDA</t>
  </si>
  <si>
    <t>KODAIR</t>
  </si>
  <si>
    <t>DHANWADA</t>
  </si>
  <si>
    <t>KOSIGI</t>
  </si>
  <si>
    <t>PEBBAIR</t>
  </si>
  <si>
    <t>KHILAGHANPUR</t>
  </si>
  <si>
    <t>Grant-2(other activities)</t>
  </si>
  <si>
    <t>Grant-4(Contigency  Exp-2)</t>
  </si>
  <si>
    <t>Grant-3(contigency Exp-1)</t>
  </si>
  <si>
    <t>Grant-5(Lab Equipment)</t>
  </si>
  <si>
    <t>Repair and Maintenance</t>
  </si>
  <si>
    <t>Laboratory Consumables</t>
  </si>
  <si>
    <t>Library Facilities</t>
  </si>
  <si>
    <t>School Functions/Sports activities/Excursions</t>
  </si>
  <si>
    <t>Conduct of Examination</t>
  </si>
  <si>
    <t>Medical Care,First Aid kit etc…</t>
  </si>
  <si>
    <t>Grant-1  (Other activities)</t>
  </si>
  <si>
    <t xml:space="preserve">Misc. Office Expenses And Contingencies </t>
  </si>
  <si>
    <t>Lab Establishment Exp.</t>
  </si>
  <si>
    <t>CLOSING BALANCES</t>
  </si>
  <si>
    <t>Cash-in-Hand</t>
  </si>
  <si>
    <t>Cash at Bank</t>
  </si>
  <si>
    <t>Grant-4   Recurring          (other activities)</t>
  </si>
  <si>
    <t>Grant-5   Recurring        (Other activities)</t>
  </si>
  <si>
    <t>Grant-3                                   (Lab Equipment)</t>
  </si>
  <si>
    <t>Grant-2                        (contigency Exp-2)</t>
  </si>
  <si>
    <t>Grant-1                     (Contigency  Exp-1)</t>
  </si>
  <si>
    <t>Fixed Assests Purchased</t>
  </si>
  <si>
    <t>Plastic chairs</t>
  </si>
  <si>
    <t>School Bell</t>
  </si>
  <si>
    <t>TOTAL RECEIPTS</t>
  </si>
  <si>
    <t>NAME OF DISTRICT</t>
  </si>
  <si>
    <t>NAME OF SCHOOL</t>
  </si>
  <si>
    <t xml:space="preserve">Bank Interest </t>
  </si>
  <si>
    <t>Plastic Tables, Iron safe, Boards</t>
  </si>
  <si>
    <t>KADAPA</t>
  </si>
  <si>
    <t>CHINNAMANDEM</t>
  </si>
  <si>
    <t>L.R.PALLI</t>
  </si>
  <si>
    <t>KHAJIPET</t>
  </si>
  <si>
    <t>RAMAPURAM</t>
  </si>
  <si>
    <t>Other Receipts                        (If Any) SALARY DIFF. Scholorship</t>
  </si>
  <si>
    <t>NARASAPURAM</t>
  </si>
  <si>
    <t>VALLUR</t>
  </si>
  <si>
    <t>RAYACHOTY</t>
  </si>
  <si>
    <t>PULLAMPET</t>
  </si>
  <si>
    <t>ANANTHAPUR</t>
  </si>
  <si>
    <t>DHARMAVARAM</t>
  </si>
  <si>
    <t>PAMIDI</t>
  </si>
  <si>
    <t>PUTLURU</t>
  </si>
  <si>
    <t>RAMAGIRI</t>
  </si>
  <si>
    <t>YELLANUR</t>
  </si>
  <si>
    <t>AGALI</t>
  </si>
  <si>
    <t>KANAGANAPALLI</t>
  </si>
  <si>
    <t>TADIPATRI</t>
  </si>
  <si>
    <t>INCOME TAX</t>
  </si>
  <si>
    <t>VIDAPANAKAL</t>
  </si>
  <si>
    <t>NALLACHERUVU</t>
  </si>
  <si>
    <t>CHERLOPALLI (HINDUPUR)</t>
  </si>
  <si>
    <t>GOOTY</t>
  </si>
  <si>
    <t>GARLADINNE</t>
  </si>
  <si>
    <t>CK PALLI</t>
  </si>
  <si>
    <t>AMADAGUR</t>
  </si>
  <si>
    <t>CHINNAMUSTUR,URAVAKONDA</t>
  </si>
  <si>
    <t>KALYANDURG</t>
  </si>
  <si>
    <t>KANEKAL</t>
  </si>
  <si>
    <t>YADIKI</t>
  </si>
  <si>
    <t>VAJRAKARUR</t>
  </si>
  <si>
    <t>SETTUR</t>
  </si>
  <si>
    <t>RAYADURG</t>
  </si>
  <si>
    <t>RAPTHADU</t>
  </si>
  <si>
    <t>MARAJUPALLI,PUTTAPARTHY</t>
  </si>
  <si>
    <t>AMARAPURAM</t>
  </si>
  <si>
    <t>KURNOOL</t>
  </si>
  <si>
    <t>KADIVELLA, YEMMIGANUR</t>
  </si>
  <si>
    <t>VELGODE</t>
  </si>
  <si>
    <t>Other Receipts                        (If Any) SALARY DIFF. Scholorship,EMD</t>
  </si>
  <si>
    <t>UYYALAWADA</t>
  </si>
  <si>
    <t>SIRVEL</t>
  </si>
  <si>
    <t>RUDRAVARAM</t>
  </si>
  <si>
    <t>RACHAMARRI</t>
  </si>
  <si>
    <t>PEDDAKADABUR</t>
  </si>
  <si>
    <t>PEDDAPADU,KALLUR</t>
  </si>
  <si>
    <t>PAMULAPADU</t>
  </si>
  <si>
    <t>PATTIKONDA</t>
  </si>
  <si>
    <t>PANYAM</t>
  </si>
  <si>
    <t>ORVAKAL</t>
  </si>
  <si>
    <t>OWK</t>
  </si>
  <si>
    <t>MUGATI</t>
  </si>
  <si>
    <t>MIDTHUR</t>
  </si>
  <si>
    <t>MADDIKERA</t>
  </si>
  <si>
    <t>M.THIMMAPURAM, MAHANANDI</t>
  </si>
  <si>
    <t>KODUMUR</t>
  </si>
  <si>
    <t>KOLIMIGUNDLA</t>
  </si>
  <si>
    <t>JULAKAL, GUDUR</t>
  </si>
  <si>
    <t>JUPADUBANGLOW,NANDIKOTKUR</t>
  </si>
  <si>
    <t>GOSPADU</t>
  </si>
  <si>
    <t>UDUMULAPADU</t>
  </si>
  <si>
    <t>C.BELAGAL</t>
  </si>
  <si>
    <t>BANAGANAPALLI</t>
  </si>
  <si>
    <t>BANDI ATMAKUR</t>
  </si>
  <si>
    <t>ASPARI</t>
  </si>
  <si>
    <t>GADIVEMULA</t>
  </si>
  <si>
    <t>KRISHNAGIRI</t>
  </si>
  <si>
    <t>ALUR</t>
  </si>
  <si>
    <t>ALLAGADDA</t>
  </si>
  <si>
    <t>GONEGANDLA</t>
  </si>
  <si>
    <t>GENERAL OBSERVATIONS</t>
  </si>
  <si>
    <t>1. Cash Book has not been maintained properly ( due to lack of knowledge)</t>
  </si>
  <si>
    <t>3. TDS certificates has not been issued to concern person.</t>
  </si>
  <si>
    <t>2. They have spent expenditure from own pocket and later  reimbursed from the bank  (It is not correct)</t>
  </si>
  <si>
    <t>3. TDS certificates has not been issued to concern person except Tadipathri.</t>
  </si>
  <si>
    <t>Opening Balance</t>
  </si>
  <si>
    <t>Bank charges</t>
  </si>
  <si>
    <t xml:space="preserve">School Grant from state </t>
  </si>
  <si>
    <t>Interest from Bank</t>
  </si>
  <si>
    <t>Advance Received</t>
  </si>
  <si>
    <t>Other Grant</t>
  </si>
  <si>
    <t>Misc Income</t>
  </si>
  <si>
    <t>Civil works</t>
  </si>
  <si>
    <t>Class rooms/Additional Classrooms</t>
  </si>
  <si>
    <t>Science Laboratory</t>
  </si>
  <si>
    <t>Lab Equipments</t>
  </si>
  <si>
    <t>Head Master/Principal room</t>
  </si>
  <si>
    <t>Office room</t>
  </si>
  <si>
    <t>Girl's activity room</t>
  </si>
  <si>
    <t>computer room/Laboratory</t>
  </si>
  <si>
    <t>Art/Craft/Culture room</t>
  </si>
  <si>
    <t>Library</t>
  </si>
  <si>
    <t>Toilets block</t>
  </si>
  <si>
    <t>Separate Girls Toilets</t>
  </si>
  <si>
    <t>Drinking water facility</t>
  </si>
  <si>
    <t>Furniture and Fixtures</t>
  </si>
  <si>
    <t>Residential Teacher quarter</t>
  </si>
  <si>
    <t>Major repairing and renovations</t>
  </si>
  <si>
    <t>Any other Activity</t>
  </si>
  <si>
    <t>Recurring Cost</t>
  </si>
  <si>
    <t>Teachers salary</t>
  </si>
  <si>
    <t>Minor repair</t>
  </si>
  <si>
    <t>Staff Salaries</t>
  </si>
  <si>
    <t>Office contingencies</t>
  </si>
  <si>
    <t>Electricity Charges</t>
  </si>
  <si>
    <t>Water charges</t>
  </si>
  <si>
    <t>Internet Charges</t>
  </si>
  <si>
    <t>Conveyance</t>
  </si>
  <si>
    <t>In-service teacher training</t>
  </si>
  <si>
    <t>Induction teacher training</t>
  </si>
  <si>
    <t>Training of community members</t>
  </si>
  <si>
    <t>Guidance and counselling cell</t>
  </si>
  <si>
    <t>Equity related activities</t>
  </si>
  <si>
    <t>Excursion trip for students</t>
  </si>
  <si>
    <t>Other charges</t>
  </si>
  <si>
    <t>Misc payments</t>
  </si>
  <si>
    <t>Advances given</t>
  </si>
  <si>
    <t>Total Recurring Expenses</t>
  </si>
  <si>
    <t>Non-Recurring Expenses</t>
  </si>
  <si>
    <t>Total Non-recurring expenses</t>
  </si>
  <si>
    <t>©</t>
  </si>
  <si>
    <t>Amount in Rs</t>
  </si>
  <si>
    <t>Name of the Bank</t>
  </si>
  <si>
    <t>Account No.</t>
  </si>
  <si>
    <t>(ii) Cash at Bank</t>
  </si>
  <si>
    <t>(i) Cash in Hand</t>
  </si>
  <si>
    <t>Grand Total [ (d) + (e) ]</t>
  </si>
  <si>
    <t xml:space="preserve">Grant from state </t>
  </si>
  <si>
    <t xml:space="preserve">Total Expenses </t>
  </si>
  <si>
    <t>(A)</t>
  </si>
  <si>
    <t>(B)</t>
  </si>
  <si>
    <t>CLOSING BALANCES [ (A) - (B) ]</t>
  </si>
  <si>
    <t>(D)</t>
  </si>
  <si>
    <t>(E)</t>
  </si>
  <si>
    <t>Total Expenses [(B)+ (C)]</t>
  </si>
  <si>
    <t>CLOSING BALANCES [ (A) - (D) ]</t>
  </si>
  <si>
    <t>(F)</t>
  </si>
  <si>
    <t>Grand Total [ (D) + (E) ]</t>
  </si>
  <si>
    <t>(G)</t>
  </si>
  <si>
    <t>Monitoring and Suspension related activities</t>
  </si>
  <si>
    <t>Repair and maintenance</t>
  </si>
  <si>
    <t>Excursion/study tour for teachers</t>
  </si>
  <si>
    <t xml:space="preserve">NAME OF DISTRICT </t>
  </si>
  <si>
    <t xml:space="preserve">NAME OF SCHOOL  </t>
  </si>
  <si>
    <t xml:space="preserve">Name of the Bank   </t>
  </si>
  <si>
    <t xml:space="preserve">Account No.              </t>
  </si>
  <si>
    <t>S.No</t>
  </si>
  <si>
    <t>Controls Totals  (A-D)
(difference should be "0" Zero)</t>
  </si>
  <si>
    <t>Controls Totals  (A-F)
(difference should be "0" Zero)</t>
  </si>
  <si>
    <t>Name of the Mandal</t>
  </si>
  <si>
    <t>CLOSING BALANCE</t>
  </si>
  <si>
    <t>Unspent Funds Return to HO (SIS)</t>
  </si>
  <si>
    <t xml:space="preserve">Funds for Excursion trip for students </t>
  </si>
  <si>
    <t>GIRLS HOSTELS CONSOLIDATION  FORMAT</t>
  </si>
  <si>
    <t>NAME OF SCHOOL  (HOSTEL)</t>
  </si>
  <si>
    <t>Chowkidar</t>
  </si>
  <si>
    <t>Mediacal Care</t>
  </si>
  <si>
    <t xml:space="preserve">Food Privisions  </t>
  </si>
  <si>
    <t>Stipends Given to Girl Child</t>
  </si>
  <si>
    <t>Honorarium to Warden</t>
  </si>
  <si>
    <t>News Paper/ Magazines</t>
  </si>
  <si>
    <t>Sports/ Games materials</t>
  </si>
  <si>
    <t>Toiletries &amp; Sanitation</t>
  </si>
  <si>
    <t>Beds/Pillows/ Hostel Consumables</t>
  </si>
  <si>
    <t>Details of Miscellanous/ Other  payments</t>
  </si>
  <si>
    <t>a)</t>
  </si>
  <si>
    <t>b)</t>
  </si>
  <si>
    <t>c)</t>
  </si>
  <si>
    <t>Details of Advances to whom given &amp; purpose</t>
  </si>
  <si>
    <t>(Signature of the Auditor)</t>
  </si>
  <si>
    <t>(Signature of Head Master)</t>
  </si>
  <si>
    <t xml:space="preserve">RMSA, CHITTOOR DISTRICT
SAMAGRA SHIKSHA  SCHOOLS CONSOLIDATION FORMAT
</t>
  </si>
  <si>
    <t>RMSA, CHITTORO DISTRICT
SAMAGRA SHIKSHA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</si>
</sst>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164" fontId="0" fillId="0" borderId="0" xfId="1" applyFont="1"/>
    <xf numFmtId="164" fontId="1" fillId="0" borderId="0" xfId="1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3" fillId="0" borderId="0" xfId="1" applyFont="1"/>
    <xf numFmtId="164" fontId="4" fillId="0" borderId="0" xfId="1" applyFont="1"/>
    <xf numFmtId="0" fontId="4" fillId="0" borderId="0" xfId="0" applyFont="1"/>
    <xf numFmtId="164" fontId="3" fillId="0" borderId="0" xfId="0" applyNumberFormat="1" applyFont="1"/>
    <xf numFmtId="164" fontId="1" fillId="0" borderId="0" xfId="1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/>
    <xf numFmtId="164" fontId="1" fillId="0" borderId="0" xfId="1" applyFont="1" applyBorder="1" applyAlignment="1">
      <alignment horizontal="center"/>
    </xf>
    <xf numFmtId="0" fontId="0" fillId="0" borderId="0" xfId="0" applyBorder="1" applyAlignment="1">
      <alignment vertical="top"/>
    </xf>
    <xf numFmtId="164" fontId="0" fillId="0" borderId="0" xfId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Border="1" applyAlignment="1">
      <alignment horizontal="center" vertical="top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0" fillId="0" borderId="0" xfId="0" applyNumberFormat="1" applyBorder="1"/>
    <xf numFmtId="0" fontId="1" fillId="0" borderId="0" xfId="0" applyFont="1" applyBorder="1" applyAlignment="1">
      <alignment vertical="top"/>
    </xf>
    <xf numFmtId="0" fontId="5" fillId="0" borderId="1" xfId="0" applyFont="1" applyBorder="1"/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164" fontId="1" fillId="0" borderId="1" xfId="1" applyFont="1" applyBorder="1" applyAlignment="1">
      <alignment horizontal="left"/>
    </xf>
    <xf numFmtId="164" fontId="1" fillId="0" borderId="1" xfId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0" fillId="0" borderId="1" xfId="1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4" fontId="0" fillId="0" borderId="1" xfId="1" applyNumberFormat="1" applyFont="1" applyBorder="1"/>
    <xf numFmtId="0" fontId="1" fillId="0" borderId="1" xfId="0" applyFont="1" applyBorder="1" applyAlignment="1">
      <alignment horizontal="left"/>
    </xf>
    <xf numFmtId="164" fontId="1" fillId="0" borderId="1" xfId="1" applyFont="1" applyBorder="1"/>
    <xf numFmtId="0" fontId="1" fillId="0" borderId="1" xfId="0" applyFont="1" applyBorder="1" applyAlignment="1">
      <alignment horizontal="left" wrapText="1"/>
    </xf>
    <xf numFmtId="164" fontId="0" fillId="0" borderId="1" xfId="1" applyFont="1" applyBorder="1" applyAlignment="1">
      <alignment horizontal="left" wrapText="1"/>
    </xf>
    <xf numFmtId="164" fontId="2" fillId="0" borderId="1" xfId="1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4" fillId="0" borderId="0" xfId="0" applyFont="1"/>
    <xf numFmtId="0" fontId="7" fillId="0" borderId="1" xfId="0" applyFont="1" applyBorder="1"/>
    <xf numFmtId="1" fontId="1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1" applyNumberFormat="1" applyFont="1" applyFill="1" applyBorder="1"/>
    <xf numFmtId="0" fontId="1" fillId="0" borderId="1" xfId="0" applyFont="1" applyBorder="1"/>
    <xf numFmtId="165" fontId="0" fillId="0" borderId="1" xfId="0" applyNumberFormat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164" fontId="0" fillId="0" borderId="1" xfId="0" applyNumberFormat="1" applyBorder="1"/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B1" sqref="B1"/>
    </sheetView>
  </sheetViews>
  <sheetFormatPr defaultRowHeight="15"/>
  <cols>
    <col min="1" max="1" width="25" bestFit="1" customWidth="1"/>
    <col min="2" max="2" width="15.140625" customWidth="1"/>
    <col min="3" max="3" width="12.85546875" customWidth="1"/>
    <col min="4" max="4" width="11.42578125" customWidth="1"/>
    <col min="5" max="5" width="14.42578125" customWidth="1"/>
    <col min="6" max="6" width="9.42578125" customWidth="1"/>
    <col min="7" max="7" width="12.7109375" customWidth="1"/>
    <col min="8" max="8" width="17.42578125" customWidth="1"/>
  </cols>
  <sheetData>
    <row r="1" spans="1:8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>
      <c r="A2" s="6" t="s">
        <v>20</v>
      </c>
      <c r="B2">
        <v>56630</v>
      </c>
    </row>
    <row r="3" spans="1:8">
      <c r="A3" s="7" t="s">
        <v>10</v>
      </c>
      <c r="B3">
        <v>43290</v>
      </c>
    </row>
    <row r="4" spans="1:8">
      <c r="A4" s="1" t="s">
        <v>12</v>
      </c>
      <c r="B4">
        <v>75000</v>
      </c>
    </row>
    <row r="5" spans="1:8">
      <c r="A5" s="1" t="s">
        <v>11</v>
      </c>
      <c r="B5">
        <v>100000</v>
      </c>
    </row>
    <row r="6" spans="1:8">
      <c r="A6" s="1" t="s">
        <v>13</v>
      </c>
      <c r="B6">
        <v>200000</v>
      </c>
    </row>
    <row r="8" spans="1:8">
      <c r="A8" s="3" t="s">
        <v>1</v>
      </c>
      <c r="B8" s="1">
        <f>SUM(B2:B7)</f>
        <v>474920</v>
      </c>
    </row>
    <row r="10" spans="1:8">
      <c r="A10" s="3" t="s">
        <v>2</v>
      </c>
    </row>
    <row r="11" spans="1:8">
      <c r="A11" s="4" t="s">
        <v>14</v>
      </c>
    </row>
    <row r="12" spans="1:8">
      <c r="A12" s="4" t="s">
        <v>15</v>
      </c>
    </row>
    <row r="13" spans="1:8">
      <c r="A13" s="4" t="s">
        <v>16</v>
      </c>
    </row>
    <row r="14" spans="1:8" ht="30">
      <c r="A14" s="5" t="s">
        <v>17</v>
      </c>
    </row>
    <row r="15" spans="1:8">
      <c r="A15" s="4" t="s">
        <v>18</v>
      </c>
    </row>
    <row r="16" spans="1:8" ht="30">
      <c r="A16" s="5" t="s">
        <v>19</v>
      </c>
    </row>
    <row r="17" spans="1:2" ht="30">
      <c r="A17" s="8" t="s">
        <v>21</v>
      </c>
    </row>
    <row r="18" spans="1:2">
      <c r="A18" s="8" t="s">
        <v>22</v>
      </c>
    </row>
    <row r="22" spans="1:2">
      <c r="A22" s="3" t="s">
        <v>1</v>
      </c>
      <c r="B22">
        <f>SUM(B11:B21)</f>
        <v>0</v>
      </c>
    </row>
    <row r="24" spans="1:2">
      <c r="A24" s="1" t="s">
        <v>23</v>
      </c>
    </row>
    <row r="25" spans="1:2">
      <c r="A25" t="s">
        <v>24</v>
      </c>
    </row>
    <row r="26" spans="1:2">
      <c r="A26" t="s">
        <v>25</v>
      </c>
    </row>
    <row r="28" spans="1:2">
      <c r="A28" s="3" t="s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opLeftCell="A27" workbookViewId="0">
      <selection activeCell="B38" sqref="B38"/>
    </sheetView>
  </sheetViews>
  <sheetFormatPr defaultRowHeight="15"/>
  <cols>
    <col min="2" max="2" width="23.140625" bestFit="1" customWidth="1"/>
    <col min="3" max="5" width="11.5703125" bestFit="1" customWidth="1"/>
    <col min="6" max="6" width="13.28515625" customWidth="1"/>
    <col min="7" max="7" width="15.7109375" customWidth="1"/>
    <col min="8" max="10" width="11.5703125" bestFit="1" customWidth="1"/>
  </cols>
  <sheetData>
    <row r="1" spans="1:12">
      <c r="B1" s="1" t="s">
        <v>35</v>
      </c>
      <c r="C1" s="1" t="s">
        <v>39</v>
      </c>
      <c r="D1" s="1"/>
      <c r="E1" s="1"/>
      <c r="F1" s="1"/>
      <c r="G1" s="1"/>
      <c r="H1" s="1"/>
      <c r="I1" s="1"/>
    </row>
    <row r="2" spans="1:12" ht="30">
      <c r="B2" s="1" t="s">
        <v>36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45</v>
      </c>
      <c r="H2" s="6" t="s">
        <v>46</v>
      </c>
      <c r="I2" s="6" t="s">
        <v>47</v>
      </c>
      <c r="J2" s="6" t="s">
        <v>48</v>
      </c>
      <c r="K2" s="6"/>
      <c r="L2" s="6"/>
    </row>
    <row r="3" spans="1:12">
      <c r="B3" s="2" t="s">
        <v>0</v>
      </c>
      <c r="C3" s="3"/>
      <c r="D3" s="3"/>
      <c r="E3" s="3"/>
      <c r="F3" s="3"/>
      <c r="G3" s="3"/>
      <c r="H3" s="3"/>
      <c r="I3" s="3"/>
    </row>
    <row r="4" spans="1:12" ht="30">
      <c r="A4" s="17">
        <v>1</v>
      </c>
      <c r="B4" s="11" t="s">
        <v>30</v>
      </c>
      <c r="C4" s="9">
        <v>100000</v>
      </c>
      <c r="D4" s="9">
        <v>100000</v>
      </c>
      <c r="E4" s="9">
        <v>100000</v>
      </c>
      <c r="F4" s="9">
        <v>100000</v>
      </c>
      <c r="G4" s="9">
        <v>100000</v>
      </c>
      <c r="H4" s="9">
        <v>100000</v>
      </c>
      <c r="I4" s="9">
        <v>100000</v>
      </c>
      <c r="J4" s="9">
        <v>100000</v>
      </c>
      <c r="K4" s="9"/>
      <c r="L4" s="9"/>
    </row>
    <row r="5" spans="1:12" ht="30">
      <c r="A5" s="17">
        <v>2</v>
      </c>
      <c r="B5" s="11" t="s">
        <v>29</v>
      </c>
      <c r="C5" s="9">
        <v>75000</v>
      </c>
      <c r="D5" s="9">
        <v>75000</v>
      </c>
      <c r="E5" s="9">
        <v>75000</v>
      </c>
      <c r="F5" s="9">
        <v>75000</v>
      </c>
      <c r="G5" s="9">
        <v>75000</v>
      </c>
      <c r="H5" s="9">
        <v>75000</v>
      </c>
      <c r="I5" s="9">
        <v>75000</v>
      </c>
      <c r="J5" s="9">
        <v>75000</v>
      </c>
      <c r="K5" s="9"/>
      <c r="L5" s="9"/>
    </row>
    <row r="6" spans="1:12" ht="30">
      <c r="A6" s="17">
        <v>3</v>
      </c>
      <c r="B6" s="11" t="s">
        <v>28</v>
      </c>
      <c r="C6" s="9">
        <v>200000</v>
      </c>
      <c r="D6" s="9">
        <v>200000</v>
      </c>
      <c r="E6" s="9">
        <v>200000</v>
      </c>
      <c r="F6" s="9">
        <v>200000</v>
      </c>
      <c r="G6" s="9">
        <v>200000</v>
      </c>
      <c r="H6" s="9">
        <v>200000</v>
      </c>
      <c r="I6" s="9">
        <v>200000</v>
      </c>
      <c r="J6" s="9">
        <v>200000</v>
      </c>
      <c r="K6" s="9"/>
      <c r="L6" s="9"/>
    </row>
    <row r="7" spans="1:12" ht="30">
      <c r="A7" s="17">
        <v>4</v>
      </c>
      <c r="B7" s="11" t="s">
        <v>26</v>
      </c>
      <c r="C7" s="9">
        <v>43290</v>
      </c>
      <c r="D7" s="9">
        <v>43290</v>
      </c>
      <c r="E7" s="9">
        <v>43290</v>
      </c>
      <c r="F7" s="9">
        <v>43290</v>
      </c>
      <c r="G7" s="9">
        <v>43290</v>
      </c>
      <c r="H7" s="9">
        <v>43290</v>
      </c>
      <c r="I7" s="9">
        <v>43290</v>
      </c>
      <c r="J7" s="9">
        <v>43290</v>
      </c>
      <c r="K7" s="9"/>
      <c r="L7" s="9"/>
    </row>
    <row r="8" spans="1:12" ht="30">
      <c r="A8" s="17">
        <v>5</v>
      </c>
      <c r="B8" s="11" t="s">
        <v>27</v>
      </c>
      <c r="C8" s="9">
        <v>56630</v>
      </c>
      <c r="D8" s="9">
        <v>56630</v>
      </c>
      <c r="E8" s="9">
        <v>56630</v>
      </c>
      <c r="F8" s="9">
        <v>56630</v>
      </c>
      <c r="G8" s="9">
        <v>56630</v>
      </c>
      <c r="H8" s="9">
        <v>56630</v>
      </c>
      <c r="I8" s="9">
        <v>56630</v>
      </c>
      <c r="J8" s="9">
        <v>56630</v>
      </c>
      <c r="K8" s="9"/>
      <c r="L8" s="9"/>
    </row>
    <row r="9" spans="1:12">
      <c r="A9" s="17">
        <v>6</v>
      </c>
      <c r="B9" s="11" t="s">
        <v>37</v>
      </c>
      <c r="C9" s="9">
        <f>66+1938</f>
        <v>2004</v>
      </c>
      <c r="D9">
        <v>2219</v>
      </c>
      <c r="E9">
        <f>2510+281</f>
        <v>2791</v>
      </c>
      <c r="F9" s="1">
        <f>132+2829</f>
        <v>2961</v>
      </c>
      <c r="G9">
        <f>2591</f>
        <v>2591</v>
      </c>
      <c r="H9">
        <f>132+2612</f>
        <v>2744</v>
      </c>
      <c r="I9">
        <f>132+2214+642-167</f>
        <v>2821</v>
      </c>
      <c r="J9">
        <f>55+1836</f>
        <v>1891</v>
      </c>
    </row>
    <row r="10" spans="1:12" ht="45">
      <c r="A10" s="17">
        <v>7</v>
      </c>
      <c r="B10" s="12" t="s">
        <v>44</v>
      </c>
      <c r="C10" s="9">
        <v>0</v>
      </c>
      <c r="D10" s="9">
        <v>1000</v>
      </c>
      <c r="E10" s="9">
        <v>500</v>
      </c>
      <c r="F10" s="1">
        <v>2500</v>
      </c>
      <c r="G10" s="9">
        <v>0</v>
      </c>
      <c r="H10">
        <f>2000+7200-265-66</f>
        <v>8869</v>
      </c>
      <c r="I10">
        <v>0</v>
      </c>
      <c r="J10" s="9">
        <f>100+96-112</f>
        <v>84</v>
      </c>
      <c r="K10" s="9"/>
    </row>
    <row r="11" spans="1:12">
      <c r="B11" s="12"/>
      <c r="C11" s="9"/>
      <c r="F11" s="1"/>
    </row>
    <row r="12" spans="1:12">
      <c r="B12" s="13" t="s">
        <v>34</v>
      </c>
      <c r="C12" s="10">
        <f t="shared" ref="C12:J12" si="0">SUM(C4:C11)</f>
        <v>476924</v>
      </c>
      <c r="D12" s="10">
        <f t="shared" si="0"/>
        <v>478139</v>
      </c>
      <c r="E12" s="10">
        <f t="shared" si="0"/>
        <v>478211</v>
      </c>
      <c r="F12" s="10">
        <f t="shared" si="0"/>
        <v>480381</v>
      </c>
      <c r="G12" s="10">
        <f t="shared" si="0"/>
        <v>477511</v>
      </c>
      <c r="H12" s="10">
        <f t="shared" si="0"/>
        <v>486533</v>
      </c>
      <c r="I12" s="10">
        <f t="shared" si="0"/>
        <v>477741</v>
      </c>
      <c r="J12" s="10">
        <f t="shared" si="0"/>
        <v>476895</v>
      </c>
      <c r="K12" s="10"/>
      <c r="L12" s="10"/>
    </row>
    <row r="13" spans="1:12">
      <c r="B13" s="14"/>
      <c r="F13" s="6"/>
    </row>
    <row r="14" spans="1:12">
      <c r="B14" s="13" t="s">
        <v>2</v>
      </c>
    </row>
    <row r="15" spans="1:12">
      <c r="A15">
        <v>1</v>
      </c>
      <c r="B15" s="15" t="s">
        <v>14</v>
      </c>
      <c r="C15">
        <v>21160</v>
      </c>
      <c r="D15">
        <v>28300</v>
      </c>
      <c r="E15">
        <v>28300</v>
      </c>
      <c r="F15">
        <v>28300</v>
      </c>
      <c r="G15">
        <v>28300</v>
      </c>
      <c r="H15">
        <v>28300</v>
      </c>
      <c r="I15">
        <v>28300</v>
      </c>
      <c r="J15">
        <v>28300</v>
      </c>
    </row>
    <row r="16" spans="1:12">
      <c r="A16">
        <v>2</v>
      </c>
      <c r="B16" s="15" t="s">
        <v>15</v>
      </c>
      <c r="C16">
        <v>11300</v>
      </c>
      <c r="D16">
        <v>11300</v>
      </c>
      <c r="E16">
        <v>11300</v>
      </c>
      <c r="F16">
        <v>11300</v>
      </c>
      <c r="G16">
        <v>11300</v>
      </c>
      <c r="H16">
        <v>11300</v>
      </c>
      <c r="I16">
        <v>11300</v>
      </c>
      <c r="J16">
        <v>11300</v>
      </c>
    </row>
    <row r="17" spans="1:12">
      <c r="A17">
        <v>3</v>
      </c>
      <c r="B17" s="15" t="s">
        <v>16</v>
      </c>
      <c r="C17">
        <v>16900</v>
      </c>
      <c r="D17">
        <v>16900</v>
      </c>
      <c r="E17">
        <v>16900</v>
      </c>
      <c r="F17">
        <v>16900</v>
      </c>
      <c r="G17">
        <v>16900</v>
      </c>
      <c r="H17">
        <v>16900</v>
      </c>
      <c r="I17">
        <v>16900</v>
      </c>
      <c r="J17">
        <v>16900</v>
      </c>
    </row>
    <row r="18" spans="1:12" ht="30">
      <c r="A18" s="17">
        <v>4</v>
      </c>
      <c r="B18" s="11" t="s">
        <v>17</v>
      </c>
      <c r="C18">
        <f>1310+1800+995+2970+1020+700+4030+2800</f>
        <v>15625</v>
      </c>
      <c r="D18">
        <v>16900</v>
      </c>
      <c r="E18">
        <v>16900</v>
      </c>
      <c r="F18">
        <v>16900</v>
      </c>
      <c r="G18">
        <v>16900</v>
      </c>
      <c r="H18">
        <v>16900</v>
      </c>
      <c r="I18">
        <v>16900</v>
      </c>
      <c r="J18">
        <v>16900</v>
      </c>
    </row>
    <row r="19" spans="1:12">
      <c r="A19">
        <v>5</v>
      </c>
      <c r="B19" s="15" t="s">
        <v>18</v>
      </c>
      <c r="C19">
        <f>1120+1850+700</f>
        <v>3670</v>
      </c>
      <c r="D19">
        <v>4200</v>
      </c>
      <c r="E19">
        <v>4200</v>
      </c>
      <c r="F19">
        <v>4200</v>
      </c>
      <c r="G19">
        <v>4200</v>
      </c>
      <c r="H19">
        <v>4200</v>
      </c>
      <c r="I19">
        <v>4200</v>
      </c>
      <c r="J19">
        <v>4200</v>
      </c>
    </row>
    <row r="20" spans="1:12" ht="30">
      <c r="A20" s="17">
        <v>6</v>
      </c>
      <c r="B20" s="11" t="s">
        <v>19</v>
      </c>
      <c r="C20">
        <v>337</v>
      </c>
      <c r="D20">
        <v>7000</v>
      </c>
      <c r="E20">
        <v>7000</v>
      </c>
      <c r="F20">
        <v>7000</v>
      </c>
      <c r="G20">
        <v>7000</v>
      </c>
      <c r="H20">
        <v>7000</v>
      </c>
      <c r="I20">
        <v>7000</v>
      </c>
      <c r="J20">
        <v>7000</v>
      </c>
    </row>
    <row r="21" spans="1:12" ht="30">
      <c r="A21" s="17">
        <v>7</v>
      </c>
      <c r="B21" s="12" t="s">
        <v>21</v>
      </c>
      <c r="C21">
        <f>36967-C18-C19-C20+30680+11536</f>
        <v>59551</v>
      </c>
      <c r="D21">
        <f>23884+323+3000</f>
        <v>27207</v>
      </c>
      <c r="E21">
        <f>86599+323</f>
        <v>86922</v>
      </c>
      <c r="F21">
        <f>9827+323</f>
        <v>10150</v>
      </c>
      <c r="G21">
        <f>26102+323</f>
        <v>26425</v>
      </c>
      <c r="H21">
        <f>40482+323</f>
        <v>40805</v>
      </c>
      <c r="I21">
        <f>13394+323</f>
        <v>13717</v>
      </c>
      <c r="J21">
        <f>1389+323</f>
        <v>1712</v>
      </c>
    </row>
    <row r="22" spans="1:12">
      <c r="A22">
        <v>8</v>
      </c>
      <c r="B22" s="12" t="s">
        <v>22</v>
      </c>
      <c r="E22">
        <v>199995</v>
      </c>
      <c r="H22">
        <v>0</v>
      </c>
      <c r="I22">
        <v>200904</v>
      </c>
      <c r="J22">
        <v>200000</v>
      </c>
    </row>
    <row r="23" spans="1:12">
      <c r="A23">
        <v>9</v>
      </c>
      <c r="B23" s="16" t="s">
        <v>31</v>
      </c>
      <c r="C23">
        <f t="shared" ref="C23:J23" si="1">C24+C25+C26</f>
        <v>99840</v>
      </c>
      <c r="D23">
        <f t="shared" si="1"/>
        <v>117100</v>
      </c>
      <c r="E23">
        <f t="shared" si="1"/>
        <v>99250</v>
      </c>
      <c r="F23">
        <f t="shared" si="1"/>
        <v>99450</v>
      </c>
      <c r="G23">
        <f t="shared" si="1"/>
        <v>97950</v>
      </c>
      <c r="H23">
        <f t="shared" si="1"/>
        <v>99800</v>
      </c>
      <c r="I23">
        <f t="shared" si="1"/>
        <v>99200</v>
      </c>
      <c r="J23">
        <f t="shared" si="1"/>
        <v>121000</v>
      </c>
    </row>
    <row r="24" spans="1:12" ht="30">
      <c r="B24" s="12" t="s">
        <v>38</v>
      </c>
      <c r="C24">
        <v>0</v>
      </c>
      <c r="D24">
        <v>3000</v>
      </c>
      <c r="G24">
        <v>0</v>
      </c>
      <c r="H24">
        <v>0</v>
      </c>
      <c r="J24">
        <v>0</v>
      </c>
    </row>
    <row r="25" spans="1:12">
      <c r="B25" s="12" t="s">
        <v>32</v>
      </c>
      <c r="C25">
        <v>99840</v>
      </c>
      <c r="D25">
        <f>99840+9360+4900</f>
        <v>114100</v>
      </c>
      <c r="E25">
        <f>93750+5500</f>
        <v>99250</v>
      </c>
      <c r="F25">
        <v>99450</v>
      </c>
      <c r="G25">
        <v>97950</v>
      </c>
      <c r="H25">
        <v>99800</v>
      </c>
      <c r="I25">
        <v>99200</v>
      </c>
      <c r="J25">
        <v>121000</v>
      </c>
    </row>
    <row r="26" spans="1:12">
      <c r="B26" s="12" t="s">
        <v>33</v>
      </c>
      <c r="C26">
        <v>0</v>
      </c>
      <c r="D26">
        <v>0</v>
      </c>
      <c r="H26">
        <v>0</v>
      </c>
    </row>
    <row r="27" spans="1:12">
      <c r="A27">
        <v>10</v>
      </c>
      <c r="B27" s="13" t="s">
        <v>23</v>
      </c>
      <c r="C27">
        <f t="shared" ref="C27:J27" si="2">C28+C29</f>
        <v>248541</v>
      </c>
      <c r="D27">
        <f t="shared" si="2"/>
        <v>249232</v>
      </c>
      <c r="E27">
        <f t="shared" si="2"/>
        <v>7444</v>
      </c>
      <c r="F27">
        <f t="shared" si="2"/>
        <v>286181</v>
      </c>
      <c r="G27">
        <f t="shared" si="2"/>
        <v>268536</v>
      </c>
      <c r="H27">
        <f t="shared" si="2"/>
        <v>261328</v>
      </c>
      <c r="I27">
        <f t="shared" si="2"/>
        <v>79320</v>
      </c>
      <c r="J27">
        <f t="shared" si="2"/>
        <v>69583</v>
      </c>
    </row>
    <row r="28" spans="1:12">
      <c r="B28" s="14" t="s">
        <v>24</v>
      </c>
      <c r="C28">
        <v>4117</v>
      </c>
      <c r="D28">
        <v>0</v>
      </c>
      <c r="E28">
        <v>3000</v>
      </c>
      <c r="F28">
        <v>0</v>
      </c>
      <c r="G28">
        <v>0</v>
      </c>
      <c r="H28">
        <v>0</v>
      </c>
      <c r="I28">
        <v>0</v>
      </c>
      <c r="J28">
        <v>2088</v>
      </c>
    </row>
    <row r="29" spans="1:12">
      <c r="B29" s="14" t="s">
        <v>25</v>
      </c>
      <c r="C29">
        <v>244424</v>
      </c>
      <c r="D29">
        <v>249232</v>
      </c>
      <c r="E29">
        <v>4444</v>
      </c>
      <c r="F29">
        <v>286181</v>
      </c>
      <c r="G29">
        <v>268536</v>
      </c>
      <c r="H29">
        <v>261328</v>
      </c>
      <c r="I29">
        <v>79320</v>
      </c>
      <c r="J29">
        <v>67495</v>
      </c>
    </row>
    <row r="30" spans="1:12">
      <c r="B30" s="14"/>
    </row>
    <row r="31" spans="1:12">
      <c r="B31" s="3" t="s">
        <v>1</v>
      </c>
      <c r="C31" s="1">
        <f t="shared" ref="C31:J31" si="3">C15+C16+C17+C18+C19+C20+C21+C22+C23+C27</f>
        <v>476924</v>
      </c>
      <c r="D31" s="1">
        <f t="shared" si="3"/>
        <v>478139</v>
      </c>
      <c r="E31" s="1">
        <f t="shared" si="3"/>
        <v>478211</v>
      </c>
      <c r="F31" s="1">
        <f t="shared" si="3"/>
        <v>480381</v>
      </c>
      <c r="G31" s="1">
        <f t="shared" si="3"/>
        <v>477511</v>
      </c>
      <c r="H31" s="1">
        <f>H15+H16+H17+H18+H19+H20+H21+H22+H23+H27</f>
        <v>486533</v>
      </c>
      <c r="I31" s="1">
        <f t="shared" si="3"/>
        <v>477741</v>
      </c>
      <c r="J31" s="1">
        <f t="shared" si="3"/>
        <v>476895</v>
      </c>
      <c r="K31" s="1"/>
      <c r="L31" s="1"/>
    </row>
    <row r="33" spans="2:12">
      <c r="C33" s="18">
        <f t="shared" ref="C33:J33" si="4">C12-C31</f>
        <v>0</v>
      </c>
      <c r="D33" s="18">
        <f t="shared" si="4"/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/>
      <c r="L33" s="18"/>
    </row>
    <row r="35" spans="2:12">
      <c r="B35" s="1" t="s">
        <v>110</v>
      </c>
    </row>
    <row r="37" spans="2:12">
      <c r="B37" t="s">
        <v>111</v>
      </c>
    </row>
    <row r="38" spans="2:12">
      <c r="B38" t="s">
        <v>113</v>
      </c>
    </row>
    <row r="39" spans="2:12">
      <c r="B39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topLeftCell="K26" workbookViewId="0">
      <selection activeCell="L38" sqref="L38"/>
    </sheetView>
  </sheetViews>
  <sheetFormatPr defaultRowHeight="15"/>
  <cols>
    <col min="2" max="2" width="17.85546875" bestFit="1" customWidth="1"/>
    <col min="3" max="3" width="14.42578125" customWidth="1"/>
    <col min="4" max="4" width="11.5703125" bestFit="1" customWidth="1"/>
    <col min="5" max="5" width="14.85546875" customWidth="1"/>
    <col min="6" max="6" width="11.5703125" bestFit="1" customWidth="1"/>
    <col min="7" max="7" width="14.7109375" customWidth="1"/>
    <col min="8" max="8" width="14" customWidth="1"/>
    <col min="9" max="9" width="11.5703125" bestFit="1" customWidth="1"/>
    <col min="10" max="10" width="12.5703125" customWidth="1"/>
    <col min="11" max="15" width="11.5703125" bestFit="1" customWidth="1"/>
    <col min="16" max="16" width="11.5703125" style="19" bestFit="1" customWidth="1"/>
    <col min="17" max="18" width="11.5703125" bestFit="1" customWidth="1"/>
    <col min="19" max="19" width="13.28515625" customWidth="1"/>
    <col min="20" max="22" width="11.5703125" bestFit="1" customWidth="1"/>
    <col min="23" max="23" width="11.85546875" customWidth="1"/>
    <col min="24" max="29" width="11.5703125" bestFit="1" customWidth="1"/>
    <col min="30" max="30" width="14.28515625" customWidth="1"/>
    <col min="31" max="34" width="11.5703125" bestFit="1" customWidth="1"/>
  </cols>
  <sheetData>
    <row r="1" spans="1:34">
      <c r="B1" s="1" t="s">
        <v>35</v>
      </c>
      <c r="C1" s="1" t="s">
        <v>76</v>
      </c>
      <c r="D1" s="1"/>
      <c r="E1" s="1"/>
      <c r="F1" s="1"/>
      <c r="G1" s="1"/>
      <c r="H1" s="1"/>
      <c r="I1" s="1"/>
    </row>
    <row r="2" spans="1:34" ht="45">
      <c r="B2" s="1" t="s">
        <v>36</v>
      </c>
      <c r="C2" s="6" t="s">
        <v>77</v>
      </c>
      <c r="D2" s="6" t="s">
        <v>78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86</v>
      </c>
      <c r="L2" s="6" t="s">
        <v>87</v>
      </c>
      <c r="M2" s="6" t="s">
        <v>88</v>
      </c>
      <c r="N2" s="6" t="s">
        <v>89</v>
      </c>
      <c r="O2" s="6" t="s">
        <v>90</v>
      </c>
      <c r="P2" s="20" t="s">
        <v>91</v>
      </c>
      <c r="Q2" s="6" t="s">
        <v>92</v>
      </c>
      <c r="R2" s="6" t="s">
        <v>93</v>
      </c>
      <c r="S2" s="6" t="s">
        <v>94</v>
      </c>
      <c r="T2" s="6" t="s">
        <v>95</v>
      </c>
      <c r="U2" s="6" t="s">
        <v>96</v>
      </c>
      <c r="V2" s="6" t="s">
        <v>97</v>
      </c>
      <c r="W2" s="6" t="s">
        <v>98</v>
      </c>
      <c r="X2" s="6" t="s">
        <v>99</v>
      </c>
      <c r="Y2" s="6" t="s">
        <v>100</v>
      </c>
      <c r="Z2" s="6" t="s">
        <v>101</v>
      </c>
      <c r="AA2" s="6" t="s">
        <v>102</v>
      </c>
      <c r="AB2" s="6" t="s">
        <v>103</v>
      </c>
      <c r="AC2" s="6" t="s">
        <v>104</v>
      </c>
      <c r="AD2" s="6" t="s">
        <v>105</v>
      </c>
      <c r="AE2" s="6" t="s">
        <v>106</v>
      </c>
      <c r="AF2" s="6" t="s">
        <v>107</v>
      </c>
      <c r="AG2" s="6" t="s">
        <v>108</v>
      </c>
      <c r="AH2" s="6" t="s">
        <v>109</v>
      </c>
    </row>
    <row r="3" spans="1:34">
      <c r="B3" s="2" t="s">
        <v>0</v>
      </c>
      <c r="C3" s="3"/>
      <c r="D3" s="3"/>
      <c r="E3" s="3"/>
      <c r="F3" s="3"/>
      <c r="G3" s="3"/>
      <c r="H3" s="3"/>
      <c r="I3" s="3"/>
      <c r="K3" s="3"/>
      <c r="L3" s="3"/>
      <c r="M3" s="3"/>
      <c r="N3" s="3"/>
      <c r="O3" s="3"/>
      <c r="P3" s="21"/>
      <c r="Q3" s="3"/>
      <c r="T3" s="3"/>
      <c r="U3" s="3"/>
      <c r="V3" s="3"/>
      <c r="W3" s="3"/>
      <c r="X3" s="3"/>
      <c r="Y3" s="3"/>
      <c r="Z3" s="3"/>
      <c r="AB3" s="3"/>
      <c r="AC3" s="3"/>
      <c r="AD3" s="3"/>
      <c r="AE3" s="3"/>
      <c r="AF3" s="3"/>
      <c r="AG3" s="3"/>
    </row>
    <row r="4" spans="1:34" ht="45">
      <c r="A4" s="17">
        <v>1</v>
      </c>
      <c r="B4" s="11" t="s">
        <v>30</v>
      </c>
      <c r="C4" s="9">
        <v>100000</v>
      </c>
      <c r="D4" s="9">
        <v>100000</v>
      </c>
      <c r="E4" s="9">
        <v>100000</v>
      </c>
      <c r="F4" s="9">
        <v>100000</v>
      </c>
      <c r="G4" s="9">
        <v>100000</v>
      </c>
      <c r="H4" s="9">
        <v>100000</v>
      </c>
      <c r="I4" s="9">
        <v>100000</v>
      </c>
      <c r="J4" s="9">
        <v>100000</v>
      </c>
      <c r="K4" s="9">
        <v>100000</v>
      </c>
      <c r="L4" s="9">
        <v>100000</v>
      </c>
      <c r="M4" s="9">
        <v>100000</v>
      </c>
      <c r="N4" s="9">
        <v>100000</v>
      </c>
      <c r="O4" s="9">
        <v>100000</v>
      </c>
      <c r="P4" s="22">
        <v>100000</v>
      </c>
      <c r="Q4" s="9">
        <v>100000</v>
      </c>
      <c r="R4" s="9">
        <v>100000</v>
      </c>
      <c r="S4" s="9">
        <v>100000</v>
      </c>
      <c r="T4" s="9">
        <v>100000</v>
      </c>
      <c r="U4" s="9">
        <v>100000</v>
      </c>
      <c r="V4" s="9">
        <v>100000</v>
      </c>
      <c r="W4" s="9">
        <v>100000</v>
      </c>
      <c r="X4" s="9">
        <v>100000</v>
      </c>
      <c r="Y4" s="9">
        <v>100000</v>
      </c>
      <c r="Z4" s="9">
        <v>100000</v>
      </c>
      <c r="AA4" s="9">
        <v>100000</v>
      </c>
      <c r="AB4" s="9">
        <v>100000</v>
      </c>
      <c r="AC4" s="9">
        <v>100000</v>
      </c>
      <c r="AD4" s="9">
        <v>100000</v>
      </c>
      <c r="AE4" s="9">
        <v>100000</v>
      </c>
      <c r="AF4" s="9">
        <v>100000</v>
      </c>
      <c r="AG4" s="9">
        <v>100000</v>
      </c>
      <c r="AH4" s="9">
        <v>100000</v>
      </c>
    </row>
    <row r="5" spans="1:34" ht="30">
      <c r="A5" s="17">
        <v>2</v>
      </c>
      <c r="B5" s="11" t="s">
        <v>29</v>
      </c>
      <c r="C5" s="9">
        <v>75000</v>
      </c>
      <c r="D5" s="9">
        <v>75000</v>
      </c>
      <c r="E5" s="9">
        <v>75000</v>
      </c>
      <c r="F5" s="9">
        <v>75000</v>
      </c>
      <c r="G5" s="9">
        <v>75000</v>
      </c>
      <c r="H5" s="9">
        <v>75000</v>
      </c>
      <c r="I5" s="9">
        <v>75000</v>
      </c>
      <c r="J5" s="9">
        <v>75000</v>
      </c>
      <c r="K5" s="9">
        <v>75000</v>
      </c>
      <c r="L5" s="9">
        <v>75000</v>
      </c>
      <c r="M5" s="9">
        <v>75000</v>
      </c>
      <c r="N5" s="9">
        <v>75000</v>
      </c>
      <c r="O5" s="9">
        <v>75000</v>
      </c>
      <c r="P5" s="22">
        <v>75000</v>
      </c>
      <c r="Q5" s="9">
        <v>75000</v>
      </c>
      <c r="R5" s="9">
        <v>75000</v>
      </c>
      <c r="S5" s="9">
        <v>75000</v>
      </c>
      <c r="T5" s="9">
        <v>75000</v>
      </c>
      <c r="U5" s="9">
        <v>75000</v>
      </c>
      <c r="V5" s="9">
        <v>75000</v>
      </c>
      <c r="W5" s="9">
        <v>75000</v>
      </c>
      <c r="X5" s="9">
        <v>75000</v>
      </c>
      <c r="Y5" s="9">
        <v>75000</v>
      </c>
      <c r="Z5" s="9">
        <v>75000</v>
      </c>
      <c r="AA5" s="9">
        <v>75000</v>
      </c>
      <c r="AB5" s="9">
        <v>75000</v>
      </c>
      <c r="AC5" s="9">
        <v>75000</v>
      </c>
      <c r="AD5" s="9">
        <v>75000</v>
      </c>
      <c r="AE5" s="9">
        <v>75000</v>
      </c>
      <c r="AF5" s="9">
        <v>75000</v>
      </c>
      <c r="AG5" s="9">
        <v>75000</v>
      </c>
      <c r="AH5" s="9">
        <v>75000</v>
      </c>
    </row>
    <row r="6" spans="1:34" ht="30">
      <c r="A6" s="17">
        <v>3</v>
      </c>
      <c r="B6" s="11" t="s">
        <v>28</v>
      </c>
      <c r="C6" s="9">
        <v>200000</v>
      </c>
      <c r="D6" s="9">
        <v>200000</v>
      </c>
      <c r="E6" s="9">
        <v>200000</v>
      </c>
      <c r="F6" s="9">
        <v>200000</v>
      </c>
      <c r="G6" s="9">
        <v>200000</v>
      </c>
      <c r="H6" s="9">
        <v>200000</v>
      </c>
      <c r="I6" s="9">
        <v>200000</v>
      </c>
      <c r="J6" s="9">
        <v>200000</v>
      </c>
      <c r="K6" s="9">
        <v>200000</v>
      </c>
      <c r="L6" s="9">
        <v>200000</v>
      </c>
      <c r="M6" s="9">
        <v>200000</v>
      </c>
      <c r="N6" s="9">
        <v>200000</v>
      </c>
      <c r="O6" s="9">
        <v>200000</v>
      </c>
      <c r="P6" s="22">
        <v>200000</v>
      </c>
      <c r="Q6" s="9">
        <v>200000</v>
      </c>
      <c r="R6" s="9">
        <v>200000</v>
      </c>
      <c r="S6" s="9">
        <v>200000</v>
      </c>
      <c r="T6" s="9">
        <v>200000</v>
      </c>
      <c r="U6" s="9">
        <v>200000</v>
      </c>
      <c r="V6" s="9">
        <v>200000</v>
      </c>
      <c r="W6" s="9">
        <v>200000</v>
      </c>
      <c r="X6" s="9">
        <v>200000</v>
      </c>
      <c r="Y6" s="9">
        <v>200000</v>
      </c>
      <c r="Z6" s="9">
        <v>200000</v>
      </c>
      <c r="AA6" s="9">
        <v>200000</v>
      </c>
      <c r="AB6" s="9">
        <v>200000</v>
      </c>
      <c r="AC6" s="9">
        <v>200000</v>
      </c>
      <c r="AD6" s="9">
        <v>200000</v>
      </c>
      <c r="AE6" s="9">
        <v>200000</v>
      </c>
      <c r="AF6" s="9">
        <v>200000</v>
      </c>
      <c r="AG6" s="9">
        <v>200000</v>
      </c>
      <c r="AH6" s="9">
        <v>200000</v>
      </c>
    </row>
    <row r="7" spans="1:34" ht="30">
      <c r="A7" s="17">
        <v>4</v>
      </c>
      <c r="B7" s="11" t="s">
        <v>26</v>
      </c>
      <c r="C7" s="9">
        <v>43290</v>
      </c>
      <c r="D7" s="9">
        <v>43290</v>
      </c>
      <c r="E7" s="9">
        <v>43290</v>
      </c>
      <c r="F7" s="9">
        <v>43290</v>
      </c>
      <c r="G7" s="9">
        <v>43290</v>
      </c>
      <c r="H7" s="9">
        <v>43290</v>
      </c>
      <c r="I7" s="9">
        <v>43290</v>
      </c>
      <c r="J7" s="9">
        <v>43290</v>
      </c>
      <c r="K7" s="9">
        <v>43290</v>
      </c>
      <c r="L7" s="9">
        <v>43290</v>
      </c>
      <c r="M7" s="9">
        <v>43290</v>
      </c>
      <c r="N7" s="9">
        <v>43290</v>
      </c>
      <c r="O7" s="9">
        <v>43290</v>
      </c>
      <c r="P7" s="22">
        <v>43290</v>
      </c>
      <c r="Q7" s="9">
        <v>43290</v>
      </c>
      <c r="R7" s="9">
        <v>43290</v>
      </c>
      <c r="S7" s="9">
        <v>43290</v>
      </c>
      <c r="T7" s="9">
        <v>43290</v>
      </c>
      <c r="U7" s="9">
        <v>43290</v>
      </c>
      <c r="V7" s="9">
        <v>43290</v>
      </c>
      <c r="W7" s="9">
        <v>43290</v>
      </c>
      <c r="X7" s="9">
        <v>43290</v>
      </c>
      <c r="Y7" s="9">
        <v>43290</v>
      </c>
      <c r="Z7" s="9">
        <v>43290</v>
      </c>
      <c r="AA7" s="9">
        <v>43290</v>
      </c>
      <c r="AB7" s="9">
        <v>43290</v>
      </c>
      <c r="AC7" s="9">
        <v>43290</v>
      </c>
      <c r="AD7" s="9">
        <v>43290</v>
      </c>
      <c r="AE7" s="9">
        <v>43290</v>
      </c>
      <c r="AF7" s="9">
        <v>43290</v>
      </c>
      <c r="AG7" s="9">
        <v>43290</v>
      </c>
      <c r="AH7" s="9">
        <v>43290</v>
      </c>
    </row>
    <row r="8" spans="1:34" ht="30">
      <c r="A8" s="17">
        <v>5</v>
      </c>
      <c r="B8" s="11" t="s">
        <v>27</v>
      </c>
      <c r="C8" s="9">
        <v>56630</v>
      </c>
      <c r="D8" s="9">
        <v>56630</v>
      </c>
      <c r="E8" s="9">
        <v>56630</v>
      </c>
      <c r="F8" s="9">
        <v>56630</v>
      </c>
      <c r="G8" s="9">
        <v>56630</v>
      </c>
      <c r="H8" s="9">
        <v>56630</v>
      </c>
      <c r="I8" s="9">
        <v>56630</v>
      </c>
      <c r="J8" s="9">
        <v>56630</v>
      </c>
      <c r="K8" s="9">
        <v>56630</v>
      </c>
      <c r="L8" s="9">
        <v>56630</v>
      </c>
      <c r="M8" s="9">
        <v>56630</v>
      </c>
      <c r="N8" s="9">
        <v>56630</v>
      </c>
      <c r="O8" s="9">
        <v>56630</v>
      </c>
      <c r="P8" s="22">
        <v>56630</v>
      </c>
      <c r="Q8" s="9">
        <v>56630</v>
      </c>
      <c r="R8" s="9">
        <v>56630</v>
      </c>
      <c r="S8" s="9">
        <v>56630</v>
      </c>
      <c r="T8" s="9">
        <v>56630</v>
      </c>
      <c r="U8" s="9">
        <v>56630</v>
      </c>
      <c r="V8" s="9">
        <v>56630</v>
      </c>
      <c r="W8" s="9">
        <v>56630</v>
      </c>
      <c r="X8" s="9">
        <v>56630</v>
      </c>
      <c r="Y8" s="9">
        <v>56630</v>
      </c>
      <c r="Z8" s="9">
        <v>56630</v>
      </c>
      <c r="AA8" s="9">
        <v>56630</v>
      </c>
      <c r="AB8" s="9">
        <v>56630</v>
      </c>
      <c r="AC8" s="9">
        <v>56630</v>
      </c>
      <c r="AD8" s="9">
        <v>56630</v>
      </c>
      <c r="AE8" s="9">
        <v>56630</v>
      </c>
      <c r="AF8" s="9">
        <v>56630</v>
      </c>
      <c r="AG8" s="9">
        <v>56630</v>
      </c>
      <c r="AH8" s="9">
        <v>56630</v>
      </c>
    </row>
    <row r="9" spans="1:34">
      <c r="A9" s="17">
        <v>6</v>
      </c>
      <c r="B9" s="11" t="s">
        <v>37</v>
      </c>
      <c r="C9" s="9">
        <f>148+4062</f>
        <v>4210</v>
      </c>
      <c r="D9">
        <v>3216</v>
      </c>
      <c r="E9">
        <v>3955</v>
      </c>
      <c r="F9" s="1">
        <v>2868</v>
      </c>
      <c r="G9">
        <v>2938</v>
      </c>
      <c r="H9">
        <f>45+3537</f>
        <v>3582</v>
      </c>
      <c r="I9">
        <v>3538</v>
      </c>
      <c r="J9">
        <f>42+3083</f>
        <v>3125</v>
      </c>
      <c r="K9" s="9">
        <f>44+3147</f>
        <v>3191</v>
      </c>
      <c r="L9">
        <v>2500</v>
      </c>
      <c r="M9">
        <f>153+2857</f>
        <v>3010</v>
      </c>
      <c r="N9" s="1">
        <f>6734-344</f>
        <v>6390</v>
      </c>
      <c r="O9">
        <f>2955-100</f>
        <v>2855</v>
      </c>
      <c r="P9" s="19">
        <f>358+3989</f>
        <v>4347</v>
      </c>
      <c r="Q9">
        <v>3005</v>
      </c>
      <c r="R9">
        <v>3554</v>
      </c>
      <c r="S9">
        <v>3925</v>
      </c>
      <c r="T9" s="9">
        <v>2756</v>
      </c>
      <c r="U9">
        <v>3340</v>
      </c>
      <c r="V9">
        <v>2970</v>
      </c>
      <c r="W9" s="9">
        <f>4718</f>
        <v>4718</v>
      </c>
      <c r="X9">
        <f>153+2792</f>
        <v>2945</v>
      </c>
      <c r="Y9">
        <f>201+3943</f>
        <v>4144</v>
      </c>
      <c r="Z9">
        <f>45+2525</f>
        <v>2570</v>
      </c>
      <c r="AA9">
        <v>3193</v>
      </c>
      <c r="AB9">
        <f>272+4336</f>
        <v>4608</v>
      </c>
      <c r="AC9">
        <v>4309</v>
      </c>
      <c r="AD9" s="9">
        <v>2914</v>
      </c>
      <c r="AE9">
        <v>3534</v>
      </c>
      <c r="AF9">
        <v>3385</v>
      </c>
      <c r="AG9">
        <v>2709</v>
      </c>
      <c r="AH9">
        <f>44+2889</f>
        <v>2933</v>
      </c>
    </row>
    <row r="10" spans="1:34" ht="60">
      <c r="A10" s="17">
        <v>7</v>
      </c>
      <c r="B10" s="12" t="s">
        <v>79</v>
      </c>
      <c r="C10" s="9">
        <f>24689-38</f>
        <v>24651</v>
      </c>
      <c r="D10" s="9">
        <v>40000</v>
      </c>
      <c r="E10" s="9">
        <f>40000+1000+750-125</f>
        <v>41625</v>
      </c>
      <c r="F10" s="1">
        <v>40000</v>
      </c>
      <c r="G10" s="9">
        <v>40000</v>
      </c>
      <c r="H10">
        <v>1651</v>
      </c>
      <c r="I10">
        <v>40500</v>
      </c>
      <c r="J10" s="9">
        <f>96000+13000+8000+1700+600</f>
        <v>119300</v>
      </c>
      <c r="K10" s="9">
        <f>100+6747-2656-35</f>
        <v>4156</v>
      </c>
      <c r="L10" s="9">
        <v>40000</v>
      </c>
      <c r="M10" s="9">
        <f>21000</f>
        <v>21000</v>
      </c>
      <c r="N10" s="1">
        <f>20000+72731</f>
        <v>92731</v>
      </c>
      <c r="O10" s="9">
        <f>40000+1</f>
        <v>40001</v>
      </c>
      <c r="P10" s="19">
        <v>-20000</v>
      </c>
      <c r="Q10">
        <v>1000</v>
      </c>
      <c r="R10" s="9">
        <f>40000+7-60</f>
        <v>39947</v>
      </c>
      <c r="S10" s="9">
        <f>1000+21000</f>
        <v>22000</v>
      </c>
      <c r="T10" s="9">
        <v>21000</v>
      </c>
      <c r="U10" s="9">
        <v>40000</v>
      </c>
      <c r="V10" s="9">
        <v>1000</v>
      </c>
      <c r="W10" s="1">
        <f>2516-515+2</f>
        <v>2003</v>
      </c>
      <c r="X10" s="9">
        <v>21000</v>
      </c>
      <c r="Y10">
        <f>21000+1</f>
        <v>21001</v>
      </c>
      <c r="Z10">
        <f>21000-5+1000</f>
        <v>21995</v>
      </c>
      <c r="AA10">
        <v>2</v>
      </c>
      <c r="AB10" s="9">
        <f>40000+500</f>
        <v>40500</v>
      </c>
      <c r="AC10" s="9">
        <f>96000+2684+500-88320</f>
        <v>10864</v>
      </c>
      <c r="AD10" s="1">
        <f>1000+500</f>
        <v>1500</v>
      </c>
      <c r="AE10" s="9">
        <f>20000+117</f>
        <v>20117</v>
      </c>
      <c r="AF10">
        <f>21593+500+14</f>
        <v>22107</v>
      </c>
      <c r="AG10">
        <f>5505-150</f>
        <v>5355</v>
      </c>
      <c r="AH10">
        <f>5+21000</f>
        <v>21005</v>
      </c>
    </row>
    <row r="11" spans="1:34">
      <c r="B11" s="12"/>
      <c r="C11" s="9"/>
      <c r="F11" s="1"/>
      <c r="K11" s="9"/>
      <c r="N11" s="1"/>
      <c r="T11" s="9"/>
      <c r="W11" s="1"/>
      <c r="AD11" s="1"/>
    </row>
    <row r="12" spans="1:34">
      <c r="B12" s="13" t="s">
        <v>34</v>
      </c>
      <c r="C12" s="10">
        <f t="shared" ref="C12:J12" si="0">SUM(C4:C11)</f>
        <v>503781</v>
      </c>
      <c r="D12" s="10">
        <f t="shared" si="0"/>
        <v>518136</v>
      </c>
      <c r="E12" s="10">
        <f t="shared" si="0"/>
        <v>520500</v>
      </c>
      <c r="F12" s="10">
        <f t="shared" si="0"/>
        <v>517788</v>
      </c>
      <c r="G12" s="10">
        <f t="shared" si="0"/>
        <v>517858</v>
      </c>
      <c r="H12" s="10">
        <f t="shared" si="0"/>
        <v>480153</v>
      </c>
      <c r="I12" s="10">
        <f t="shared" si="0"/>
        <v>518958</v>
      </c>
      <c r="J12" s="10">
        <f t="shared" si="0"/>
        <v>597345</v>
      </c>
      <c r="K12" s="10">
        <f t="shared" ref="K12:Z12" si="1">SUM(K4:K11)</f>
        <v>482267</v>
      </c>
      <c r="L12" s="10">
        <f t="shared" si="1"/>
        <v>517420</v>
      </c>
      <c r="M12" s="10">
        <f t="shared" si="1"/>
        <v>498930</v>
      </c>
      <c r="N12" s="10">
        <f t="shared" si="1"/>
        <v>574041</v>
      </c>
      <c r="O12" s="10">
        <f t="shared" si="1"/>
        <v>517776</v>
      </c>
      <c r="P12" s="23">
        <f t="shared" si="1"/>
        <v>459267</v>
      </c>
      <c r="Q12" s="10">
        <f t="shared" si="1"/>
        <v>478925</v>
      </c>
      <c r="R12" s="10">
        <f t="shared" si="1"/>
        <v>518421</v>
      </c>
      <c r="S12" s="10">
        <f t="shared" si="1"/>
        <v>500845</v>
      </c>
      <c r="T12" s="10">
        <f t="shared" si="1"/>
        <v>498676</v>
      </c>
      <c r="U12" s="10">
        <f t="shared" si="1"/>
        <v>518260</v>
      </c>
      <c r="V12" s="10">
        <f t="shared" si="1"/>
        <v>478890</v>
      </c>
      <c r="W12" s="10">
        <f t="shared" si="1"/>
        <v>481641</v>
      </c>
      <c r="X12" s="10">
        <f t="shared" si="1"/>
        <v>498865</v>
      </c>
      <c r="Y12" s="10">
        <f t="shared" si="1"/>
        <v>500065</v>
      </c>
      <c r="Z12" s="10">
        <f t="shared" si="1"/>
        <v>499485</v>
      </c>
      <c r="AA12" s="10">
        <f t="shared" ref="AA12:AG12" si="2">SUM(AA4:AA11)</f>
        <v>478115</v>
      </c>
      <c r="AB12" s="10">
        <f t="shared" si="2"/>
        <v>520028</v>
      </c>
      <c r="AC12" s="10">
        <f t="shared" si="2"/>
        <v>490093</v>
      </c>
      <c r="AD12" s="10">
        <f t="shared" si="2"/>
        <v>479334</v>
      </c>
      <c r="AE12" s="10">
        <f t="shared" si="2"/>
        <v>498571</v>
      </c>
      <c r="AF12" s="10">
        <f t="shared" si="2"/>
        <v>500412</v>
      </c>
      <c r="AG12" s="10">
        <f t="shared" si="2"/>
        <v>482984</v>
      </c>
      <c r="AH12" s="10">
        <f t="shared" ref="AH12" si="3">SUM(AH4:AH11)</f>
        <v>498858</v>
      </c>
    </row>
    <row r="13" spans="1:34">
      <c r="B13" s="14"/>
      <c r="F13" s="6"/>
      <c r="N13" s="6"/>
      <c r="W13" s="6"/>
      <c r="AD13" s="6"/>
    </row>
    <row r="14" spans="1:34">
      <c r="B14" s="13" t="s">
        <v>2</v>
      </c>
    </row>
    <row r="15" spans="1:34">
      <c r="A15">
        <v>1</v>
      </c>
      <c r="B15" s="15" t="s">
        <v>14</v>
      </c>
      <c r="C15">
        <v>0</v>
      </c>
      <c r="D15">
        <v>0</v>
      </c>
      <c r="E15">
        <v>10000</v>
      </c>
      <c r="F15">
        <v>0</v>
      </c>
      <c r="G15">
        <v>7820</v>
      </c>
      <c r="H15">
        <v>0</v>
      </c>
      <c r="I15">
        <v>0</v>
      </c>
      <c r="J15">
        <v>15909</v>
      </c>
      <c r="K15">
        <v>0</v>
      </c>
      <c r="L15">
        <v>0</v>
      </c>
      <c r="M15">
        <v>0</v>
      </c>
      <c r="N15">
        <v>0</v>
      </c>
      <c r="O15">
        <v>0</v>
      </c>
      <c r="P15" s="19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907</v>
      </c>
      <c r="X15">
        <f>1566+1711+1500</f>
        <v>4777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10829</v>
      </c>
      <c r="AE15">
        <v>0</v>
      </c>
      <c r="AF15">
        <v>0</v>
      </c>
      <c r="AG15">
        <v>0</v>
      </c>
      <c r="AH15">
        <v>6745</v>
      </c>
    </row>
    <row r="16" spans="1:34">
      <c r="A16">
        <v>2</v>
      </c>
      <c r="B16" s="15" t="s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s="19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</row>
    <row r="17" spans="1:34">
      <c r="A17">
        <v>3</v>
      </c>
      <c r="B17" s="15" t="s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s="19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</row>
    <row r="18" spans="1:34" ht="60">
      <c r="A18" s="17">
        <v>4</v>
      </c>
      <c r="B18" s="11" t="s">
        <v>17</v>
      </c>
      <c r="C18">
        <v>0</v>
      </c>
      <c r="D18">
        <v>4000</v>
      </c>
      <c r="E18">
        <f>600+150+300+474+250+2091+1100+7300</f>
        <v>12265</v>
      </c>
      <c r="F18">
        <v>0</v>
      </c>
      <c r="G18">
        <f>390+600+750+2760+3940+2200</f>
        <v>10640</v>
      </c>
      <c r="H18">
        <v>11610</v>
      </c>
      <c r="I18">
        <v>24033</v>
      </c>
      <c r="J18">
        <v>14506</v>
      </c>
      <c r="K18">
        <v>0</v>
      </c>
      <c r="L18">
        <f>2486+2074+756+2374+2035+950+650+9091+3000+5800</f>
        <v>29216</v>
      </c>
      <c r="M18">
        <v>3366</v>
      </c>
      <c r="N18">
        <v>4000</v>
      </c>
      <c r="O18">
        <v>13000</v>
      </c>
      <c r="P18" s="19">
        <v>0</v>
      </c>
      <c r="Q18">
        <v>0</v>
      </c>
      <c r="R18">
        <f>35455-15000</f>
        <v>20455</v>
      </c>
      <c r="S18">
        <v>26000</v>
      </c>
      <c r="T18">
        <v>10491</v>
      </c>
      <c r="U18">
        <v>3850</v>
      </c>
      <c r="V18">
        <v>9571</v>
      </c>
      <c r="W18">
        <v>16444</v>
      </c>
      <c r="X18">
        <f>3839+8954</f>
        <v>12793</v>
      </c>
      <c r="Y18">
        <f>1600+500+450+195+250+80+150+200+1270+6140+360+1600+100+90+110</f>
        <v>13095</v>
      </c>
      <c r="Z18">
        <f>3999</f>
        <v>3999</v>
      </c>
      <c r="AA18">
        <v>0</v>
      </c>
      <c r="AB18">
        <v>12000</v>
      </c>
      <c r="AC18">
        <v>0</v>
      </c>
      <c r="AD18">
        <f>2429+1360+2222</f>
        <v>6011</v>
      </c>
      <c r="AE18">
        <v>0</v>
      </c>
      <c r="AF18">
        <v>0</v>
      </c>
      <c r="AG18">
        <v>0</v>
      </c>
      <c r="AH18">
        <f>4183+16904</f>
        <v>21087</v>
      </c>
    </row>
    <row r="19" spans="1:34">
      <c r="A19">
        <v>5</v>
      </c>
      <c r="B19" s="15" t="s">
        <v>18</v>
      </c>
      <c r="C19">
        <v>0</v>
      </c>
      <c r="D19">
        <v>0</v>
      </c>
      <c r="E19">
        <f>300+320+130+199+350+465+433</f>
        <v>2197</v>
      </c>
      <c r="F19">
        <v>0</v>
      </c>
      <c r="G19">
        <f>660+495+495+495+495</f>
        <v>2640</v>
      </c>
      <c r="H19">
        <v>0</v>
      </c>
      <c r="I19">
        <v>0</v>
      </c>
      <c r="J19">
        <v>0</v>
      </c>
      <c r="K19">
        <v>0</v>
      </c>
      <c r="L19">
        <f>2179</f>
        <v>2179</v>
      </c>
      <c r="M19">
        <v>600</v>
      </c>
      <c r="N19">
        <v>1500</v>
      </c>
      <c r="O19">
        <v>0</v>
      </c>
      <c r="P19" s="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1300</v>
      </c>
      <c r="Y19">
        <v>0</v>
      </c>
      <c r="Z19">
        <v>0</v>
      </c>
      <c r="AA19">
        <v>1500</v>
      </c>
      <c r="AB19">
        <v>0</v>
      </c>
      <c r="AC19">
        <v>0</v>
      </c>
      <c r="AD19">
        <v>250</v>
      </c>
      <c r="AE19">
        <v>0</v>
      </c>
      <c r="AF19">
        <v>0</v>
      </c>
      <c r="AG19">
        <f>16384+3840</f>
        <v>20224</v>
      </c>
      <c r="AH19">
        <v>0</v>
      </c>
    </row>
    <row r="20" spans="1:34" ht="30">
      <c r="A20" s="17">
        <v>6</v>
      </c>
      <c r="B20" s="11" t="s">
        <v>19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f>3220+1890+1500</f>
        <v>6610</v>
      </c>
      <c r="M20">
        <v>5223</v>
      </c>
      <c r="N20">
        <v>3340</v>
      </c>
      <c r="O20">
        <v>0</v>
      </c>
      <c r="P20" s="19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2975</v>
      </c>
      <c r="Y20">
        <f>2500+960</f>
        <v>3460</v>
      </c>
      <c r="Z20">
        <v>4138</v>
      </c>
      <c r="AA20">
        <v>0</v>
      </c>
      <c r="AB20">
        <v>0</v>
      </c>
      <c r="AC20">
        <v>0</v>
      </c>
      <c r="AD20">
        <v>2751</v>
      </c>
      <c r="AE20">
        <v>0</v>
      </c>
      <c r="AF20">
        <v>0</v>
      </c>
      <c r="AG20">
        <v>0</v>
      </c>
      <c r="AH20">
        <v>0</v>
      </c>
    </row>
    <row r="21" spans="1:34" ht="45">
      <c r="A21" s="17">
        <v>7</v>
      </c>
      <c r="B21" s="12" t="s">
        <v>21</v>
      </c>
      <c r="C21">
        <f>12113+19042+93215-C23</f>
        <v>43620</v>
      </c>
      <c r="D21">
        <v>16100</v>
      </c>
      <c r="E21">
        <f>10000+35000-E19-E18+99475-E23</f>
        <v>48338</v>
      </c>
      <c r="F21">
        <f>100107-F23+34218+28726</f>
        <v>70280</v>
      </c>
      <c r="G21">
        <f>99414-G23+5105+28098-G18-G19</f>
        <v>29597</v>
      </c>
      <c r="H21">
        <f>73000-H23</f>
        <v>5000</v>
      </c>
      <c r="I21">
        <f>99440-I23+17246</f>
        <v>43486</v>
      </c>
      <c r="J21">
        <f>99906-J23+31519</f>
        <v>41425</v>
      </c>
      <c r="K21">
        <f>100442-K23+38000</f>
        <v>44792</v>
      </c>
      <c r="L21">
        <f>97723-L23+31713</f>
        <v>41486</v>
      </c>
      <c r="M21">
        <f>99640-M23+44387+430</f>
        <v>46647</v>
      </c>
      <c r="N21">
        <f>61224+99371-N23</f>
        <v>70595</v>
      </c>
      <c r="O21">
        <f>100000-O23</f>
        <v>4130</v>
      </c>
      <c r="P21" s="19">
        <f>15692+37908</f>
        <v>53600</v>
      </c>
      <c r="Q21">
        <f>99588-Q23+47598</f>
        <v>55586</v>
      </c>
      <c r="R21">
        <f>35545+15000</f>
        <v>50545</v>
      </c>
      <c r="S21">
        <f>93550-S23+9450</f>
        <v>22980</v>
      </c>
      <c r="T21">
        <f>99939-T23+25054</f>
        <v>31493</v>
      </c>
      <c r="U21">
        <f>99414-U23+5161</f>
        <v>20735</v>
      </c>
      <c r="V21">
        <f>110966-V23</f>
        <v>18966</v>
      </c>
      <c r="W21">
        <f>8630+99836-W23</f>
        <v>18006</v>
      </c>
      <c r="X21">
        <f>28454-X18-X19-X20+34850</f>
        <v>46236</v>
      </c>
      <c r="Y21">
        <f>100010-Y23+9090</f>
        <v>19840</v>
      </c>
      <c r="Z21">
        <f>99009-Z23+41111+2164</f>
        <v>48784</v>
      </c>
      <c r="AA21">
        <f>96759-AA23+9316+8620+5652+4662</f>
        <v>36249</v>
      </c>
      <c r="AB21">
        <f>83440-AB23</f>
        <v>24500</v>
      </c>
      <c r="AC21">
        <f>85957-AC23+9340+16418</f>
        <v>43965</v>
      </c>
      <c r="AD21">
        <f>100210-AD23+13070+3163+855</f>
        <v>24798</v>
      </c>
      <c r="AE21">
        <f>66977-AE23+41532+33527</f>
        <v>78936</v>
      </c>
      <c r="AF21">
        <f>99881-AF23+18238</f>
        <v>40019</v>
      </c>
      <c r="AG21">
        <f>97120-73450+25814-19050</f>
        <v>30434</v>
      </c>
      <c r="AH21">
        <f>98060-AH23+25335</f>
        <v>31840</v>
      </c>
    </row>
    <row r="22" spans="1:34" ht="30">
      <c r="A22">
        <v>8</v>
      </c>
      <c r="B22" s="12" t="s">
        <v>22</v>
      </c>
      <c r="E22">
        <v>0</v>
      </c>
      <c r="H22">
        <v>0</v>
      </c>
      <c r="I22">
        <v>0</v>
      </c>
      <c r="J22">
        <v>0</v>
      </c>
      <c r="K22">
        <v>200000</v>
      </c>
      <c r="M22">
        <v>0</v>
      </c>
      <c r="N22">
        <v>195500</v>
      </c>
      <c r="P22" s="19">
        <v>0</v>
      </c>
      <c r="Q22">
        <v>200000</v>
      </c>
      <c r="R22">
        <v>0</v>
      </c>
      <c r="S22">
        <v>0</v>
      </c>
      <c r="V22">
        <v>0</v>
      </c>
      <c r="Y22">
        <v>0</v>
      </c>
      <c r="Z22">
        <v>0</v>
      </c>
      <c r="AA22">
        <v>0</v>
      </c>
      <c r="AB22">
        <v>240000</v>
      </c>
      <c r="AC22">
        <v>0</v>
      </c>
      <c r="AF22">
        <v>0</v>
      </c>
      <c r="AG22">
        <v>0</v>
      </c>
      <c r="AH22">
        <v>0</v>
      </c>
    </row>
    <row r="23" spans="1:34" ht="30">
      <c r="A23">
        <v>9</v>
      </c>
      <c r="B23" s="16" t="s">
        <v>31</v>
      </c>
      <c r="C23">
        <f t="shared" ref="C23:W23" si="4">C24+C25+C26</f>
        <v>80750</v>
      </c>
      <c r="D23">
        <f t="shared" si="4"/>
        <v>90900</v>
      </c>
      <c r="E23">
        <f t="shared" si="4"/>
        <v>81675</v>
      </c>
      <c r="F23">
        <f t="shared" si="4"/>
        <v>92771</v>
      </c>
      <c r="G23">
        <f t="shared" si="4"/>
        <v>89740</v>
      </c>
      <c r="H23">
        <f t="shared" si="4"/>
        <v>68000</v>
      </c>
      <c r="I23">
        <f t="shared" si="4"/>
        <v>73200</v>
      </c>
      <c r="J23">
        <f t="shared" si="4"/>
        <v>90000</v>
      </c>
      <c r="K23">
        <f t="shared" si="4"/>
        <v>93650</v>
      </c>
      <c r="L23">
        <f t="shared" si="4"/>
        <v>87950</v>
      </c>
      <c r="M23">
        <f t="shared" si="4"/>
        <v>97810</v>
      </c>
      <c r="N23">
        <f t="shared" si="4"/>
        <v>90000</v>
      </c>
      <c r="O23">
        <f>O24+O25+O26</f>
        <v>95870</v>
      </c>
      <c r="P23" s="19">
        <f t="shared" si="4"/>
        <v>84880</v>
      </c>
      <c r="Q23">
        <f t="shared" si="4"/>
        <v>91600</v>
      </c>
      <c r="R23">
        <f t="shared" si="4"/>
        <v>71750</v>
      </c>
      <c r="S23">
        <f t="shared" si="4"/>
        <v>80020</v>
      </c>
      <c r="T23">
        <f t="shared" si="4"/>
        <v>93500</v>
      </c>
      <c r="U23">
        <f t="shared" si="4"/>
        <v>83840</v>
      </c>
      <c r="V23">
        <f t="shared" si="4"/>
        <v>92000</v>
      </c>
      <c r="W23">
        <f t="shared" si="4"/>
        <v>90460</v>
      </c>
      <c r="X23">
        <f>X24+X25+X26</f>
        <v>90750</v>
      </c>
      <c r="Y23">
        <f t="shared" ref="Y23:Z23" si="5">Y24+Y25+Y26</f>
        <v>89260</v>
      </c>
      <c r="Z23">
        <f t="shared" si="5"/>
        <v>93500</v>
      </c>
      <c r="AA23">
        <f t="shared" ref="AA23:AD23" si="6">AA24+AA25+AA26</f>
        <v>88760</v>
      </c>
      <c r="AB23">
        <f t="shared" si="6"/>
        <v>58940</v>
      </c>
      <c r="AC23">
        <f t="shared" si="6"/>
        <v>67750</v>
      </c>
      <c r="AD23">
        <f t="shared" si="6"/>
        <v>92500</v>
      </c>
      <c r="AE23">
        <f>AE24+AE25+AE26</f>
        <v>63100</v>
      </c>
      <c r="AF23">
        <f t="shared" ref="AF23:AH23" si="7">AF24+AF25+AF26</f>
        <v>78100</v>
      </c>
      <c r="AG23">
        <f t="shared" si="7"/>
        <v>92500</v>
      </c>
      <c r="AH23">
        <f t="shared" si="7"/>
        <v>91555</v>
      </c>
    </row>
    <row r="24" spans="1:34" ht="30">
      <c r="B24" s="12" t="s">
        <v>38</v>
      </c>
      <c r="C24">
        <v>0</v>
      </c>
      <c r="D24">
        <v>0</v>
      </c>
      <c r="F24">
        <v>2771</v>
      </c>
      <c r="G24">
        <v>0</v>
      </c>
      <c r="H24">
        <v>0</v>
      </c>
      <c r="I24">
        <v>1450</v>
      </c>
      <c r="J24">
        <v>0</v>
      </c>
      <c r="K24">
        <v>0</v>
      </c>
      <c r="L24">
        <v>3000</v>
      </c>
      <c r="M24">
        <v>1350</v>
      </c>
      <c r="N24">
        <v>0</v>
      </c>
      <c r="O24">
        <v>1350</v>
      </c>
      <c r="P24" s="19">
        <v>0</v>
      </c>
      <c r="Q24">
        <v>0</v>
      </c>
      <c r="R24">
        <v>0</v>
      </c>
      <c r="S24">
        <v>6000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f>1900+900</f>
        <v>2800</v>
      </c>
      <c r="AA24">
        <v>2600</v>
      </c>
      <c r="AB24">
        <v>2700</v>
      </c>
      <c r="AC24">
        <v>0</v>
      </c>
      <c r="AD24">
        <v>2000</v>
      </c>
      <c r="AE24">
        <v>0</v>
      </c>
      <c r="AF24">
        <v>0</v>
      </c>
      <c r="AG24">
        <v>0</v>
      </c>
      <c r="AH24">
        <v>0</v>
      </c>
    </row>
    <row r="25" spans="1:34">
      <c r="B25" s="12" t="s">
        <v>32</v>
      </c>
      <c r="C25">
        <f>68750+7500+4500</f>
        <v>80750</v>
      </c>
      <c r="D25">
        <v>90900</v>
      </c>
      <c r="E25">
        <f>79475+2200</f>
        <v>81675</v>
      </c>
      <c r="F25">
        <v>90000</v>
      </c>
      <c r="G25">
        <v>89740</v>
      </c>
      <c r="H25">
        <v>68000</v>
      </c>
      <c r="I25">
        <v>71750</v>
      </c>
      <c r="J25">
        <v>90000</v>
      </c>
      <c r="K25">
        <v>92600</v>
      </c>
      <c r="L25">
        <v>84950</v>
      </c>
      <c r="M25">
        <f>89100+760+6600</f>
        <v>96460</v>
      </c>
      <c r="N25">
        <v>90000</v>
      </c>
      <c r="O25">
        <f>88660+600+4810</f>
        <v>94070</v>
      </c>
      <c r="P25" s="19">
        <v>84880</v>
      </c>
      <c r="Q25">
        <v>91600</v>
      </c>
      <c r="R25">
        <v>71750</v>
      </c>
      <c r="S25">
        <f>66720+6000+1000</f>
        <v>73720</v>
      </c>
      <c r="T25">
        <v>92000</v>
      </c>
      <c r="U25">
        <v>83840</v>
      </c>
      <c r="V25">
        <v>92000</v>
      </c>
      <c r="W25">
        <v>90460</v>
      </c>
      <c r="X25">
        <v>90750</v>
      </c>
      <c r="Y25">
        <v>89260</v>
      </c>
      <c r="Z25">
        <f>82500+6000+700</f>
        <v>89200</v>
      </c>
      <c r="AA25">
        <f>83400+1560</f>
        <v>84960</v>
      </c>
      <c r="AB25">
        <f>36120+8500+10320+1300</f>
        <v>56240</v>
      </c>
      <c r="AC25">
        <v>67750</v>
      </c>
      <c r="AD25">
        <v>90500</v>
      </c>
      <c r="AE25">
        <v>63100</v>
      </c>
      <c r="AF25">
        <v>78100</v>
      </c>
      <c r="AG25">
        <f>73450+19050</f>
        <v>92500</v>
      </c>
      <c r="AH25">
        <f>90915+640</f>
        <v>91555</v>
      </c>
    </row>
    <row r="26" spans="1:34">
      <c r="B26" s="12" t="s">
        <v>33</v>
      </c>
      <c r="C26">
        <v>0</v>
      </c>
      <c r="D26">
        <v>0</v>
      </c>
      <c r="F26">
        <v>0</v>
      </c>
      <c r="H26">
        <v>0</v>
      </c>
      <c r="I26">
        <v>0</v>
      </c>
      <c r="J26">
        <v>0</v>
      </c>
      <c r="K26">
        <v>1050</v>
      </c>
      <c r="L26">
        <v>0</v>
      </c>
      <c r="M26">
        <v>0</v>
      </c>
      <c r="N26">
        <v>0</v>
      </c>
      <c r="O26">
        <v>450</v>
      </c>
      <c r="P26" s="19">
        <v>0</v>
      </c>
      <c r="Q26">
        <v>0</v>
      </c>
      <c r="R26">
        <v>0</v>
      </c>
      <c r="S26">
        <v>300</v>
      </c>
      <c r="T26">
        <v>1500</v>
      </c>
      <c r="U26">
        <v>0</v>
      </c>
      <c r="V26">
        <v>0</v>
      </c>
      <c r="W26">
        <v>0</v>
      </c>
      <c r="X26">
        <v>0</v>
      </c>
      <c r="Y26">
        <v>0</v>
      </c>
      <c r="Z26">
        <v>1500</v>
      </c>
      <c r="AA26">
        <v>1200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</row>
    <row r="27" spans="1:34">
      <c r="A27">
        <v>10</v>
      </c>
      <c r="B27" s="13" t="s">
        <v>23</v>
      </c>
      <c r="C27">
        <f t="shared" ref="C27:Z27" si="8">C28+C29</f>
        <v>379411</v>
      </c>
      <c r="D27">
        <f t="shared" si="8"/>
        <v>407136</v>
      </c>
      <c r="E27">
        <f t="shared" si="8"/>
        <v>366025</v>
      </c>
      <c r="F27">
        <f t="shared" si="8"/>
        <v>354737</v>
      </c>
      <c r="G27">
        <f t="shared" si="8"/>
        <v>377421</v>
      </c>
      <c r="H27">
        <f t="shared" si="8"/>
        <v>395543</v>
      </c>
      <c r="I27">
        <f t="shared" si="8"/>
        <v>378239</v>
      </c>
      <c r="J27">
        <f t="shared" si="8"/>
        <v>435505</v>
      </c>
      <c r="K27">
        <f t="shared" si="8"/>
        <v>143825</v>
      </c>
      <c r="L27">
        <f t="shared" si="8"/>
        <v>349979</v>
      </c>
      <c r="M27">
        <f t="shared" si="8"/>
        <v>345284</v>
      </c>
      <c r="N27">
        <f t="shared" si="8"/>
        <v>209106</v>
      </c>
      <c r="O27">
        <f t="shared" si="8"/>
        <v>404776</v>
      </c>
      <c r="P27" s="19">
        <f t="shared" si="8"/>
        <v>320787</v>
      </c>
      <c r="Q27">
        <f t="shared" si="8"/>
        <v>131739</v>
      </c>
      <c r="R27">
        <f t="shared" si="8"/>
        <v>375671</v>
      </c>
      <c r="S27">
        <f t="shared" si="8"/>
        <v>371845</v>
      </c>
      <c r="T27">
        <f t="shared" si="8"/>
        <v>363192</v>
      </c>
      <c r="U27">
        <f t="shared" si="8"/>
        <v>409835</v>
      </c>
      <c r="V27">
        <f t="shared" si="8"/>
        <v>358353</v>
      </c>
      <c r="W27">
        <f t="shared" si="8"/>
        <v>355824</v>
      </c>
      <c r="X27">
        <f t="shared" si="8"/>
        <v>340034</v>
      </c>
      <c r="Y27">
        <f t="shared" si="8"/>
        <v>374410</v>
      </c>
      <c r="Z27">
        <f t="shared" si="8"/>
        <v>349064</v>
      </c>
      <c r="AA27">
        <f t="shared" ref="AA27:AG27" si="9">AA28+AA29</f>
        <v>351606</v>
      </c>
      <c r="AB27">
        <f t="shared" si="9"/>
        <v>184588</v>
      </c>
      <c r="AC27">
        <f t="shared" si="9"/>
        <v>378378</v>
      </c>
      <c r="AD27">
        <f t="shared" si="9"/>
        <v>342195</v>
      </c>
      <c r="AE27">
        <f t="shared" si="9"/>
        <v>356535</v>
      </c>
      <c r="AF27">
        <f t="shared" si="9"/>
        <v>382293</v>
      </c>
      <c r="AG27">
        <f t="shared" si="9"/>
        <v>339826</v>
      </c>
      <c r="AH27">
        <f t="shared" ref="AH27" si="10">AH28+AH29</f>
        <v>347631</v>
      </c>
    </row>
    <row r="28" spans="1:34">
      <c r="B28" s="14" t="s">
        <v>24</v>
      </c>
      <c r="C28">
        <v>73</v>
      </c>
      <c r="D28">
        <v>0</v>
      </c>
      <c r="E28">
        <v>0</v>
      </c>
      <c r="F28">
        <v>259</v>
      </c>
      <c r="G28">
        <v>0</v>
      </c>
      <c r="H28">
        <v>0</v>
      </c>
      <c r="I28">
        <f>-7549+180</f>
        <v>-7369</v>
      </c>
      <c r="J28">
        <v>69</v>
      </c>
      <c r="K28">
        <v>158</v>
      </c>
      <c r="L28">
        <v>0</v>
      </c>
      <c r="M28">
        <v>-56</v>
      </c>
      <c r="N28">
        <v>0</v>
      </c>
      <c r="O28">
        <v>0</v>
      </c>
      <c r="P28" s="19">
        <v>0</v>
      </c>
      <c r="Q28">
        <v>414</v>
      </c>
      <c r="R28">
        <v>0</v>
      </c>
      <c r="S28">
        <v>0</v>
      </c>
      <c r="T28">
        <v>16</v>
      </c>
      <c r="U28">
        <v>667</v>
      </c>
      <c r="V28">
        <v>463</v>
      </c>
      <c r="W28">
        <v>0</v>
      </c>
      <c r="X28">
        <v>99</v>
      </c>
      <c r="Y28">
        <v>0</v>
      </c>
      <c r="Z28">
        <v>579</v>
      </c>
      <c r="AA28">
        <v>1491</v>
      </c>
      <c r="AB28">
        <v>0</v>
      </c>
      <c r="AC28">
        <v>735</v>
      </c>
      <c r="AD28">
        <v>6361</v>
      </c>
      <c r="AE28">
        <v>-1046</v>
      </c>
      <c r="AF28">
        <v>3481</v>
      </c>
      <c r="AG28">
        <f>846</f>
        <v>846</v>
      </c>
      <c r="AH28">
        <v>7029</v>
      </c>
    </row>
    <row r="29" spans="1:34">
      <c r="B29" s="14" t="s">
        <v>25</v>
      </c>
      <c r="C29">
        <v>379338</v>
      </c>
      <c r="D29">
        <v>407136</v>
      </c>
      <c r="E29">
        <v>366025</v>
      </c>
      <c r="F29">
        <v>354478</v>
      </c>
      <c r="G29">
        <v>377421</v>
      </c>
      <c r="H29">
        <v>395543</v>
      </c>
      <c r="I29">
        <v>385608</v>
      </c>
      <c r="J29">
        <v>435436</v>
      </c>
      <c r="K29">
        <v>143667</v>
      </c>
      <c r="L29">
        <v>349979</v>
      </c>
      <c r="M29">
        <v>345340</v>
      </c>
      <c r="N29">
        <v>209106</v>
      </c>
      <c r="O29">
        <v>404776</v>
      </c>
      <c r="P29" s="19">
        <v>320787</v>
      </c>
      <c r="Q29">
        <v>131325</v>
      </c>
      <c r="R29">
        <v>375671</v>
      </c>
      <c r="S29">
        <v>371845</v>
      </c>
      <c r="T29">
        <v>363176</v>
      </c>
      <c r="U29">
        <v>409168</v>
      </c>
      <c r="V29">
        <v>357890</v>
      </c>
      <c r="W29">
        <v>355824</v>
      </c>
      <c r="X29">
        <v>339935</v>
      </c>
      <c r="Y29">
        <v>374410</v>
      </c>
      <c r="Z29">
        <v>348485</v>
      </c>
      <c r="AA29">
        <v>350115</v>
      </c>
      <c r="AB29">
        <v>184588</v>
      </c>
      <c r="AC29">
        <v>377643</v>
      </c>
      <c r="AD29">
        <v>335834</v>
      </c>
      <c r="AE29">
        <v>357581</v>
      </c>
      <c r="AF29">
        <v>378812</v>
      </c>
      <c r="AG29">
        <v>338980</v>
      </c>
      <c r="AH29">
        <v>340602</v>
      </c>
    </row>
    <row r="30" spans="1:34">
      <c r="B30" s="14"/>
    </row>
    <row r="31" spans="1:34">
      <c r="B31" s="3" t="s">
        <v>1</v>
      </c>
      <c r="C31" s="1">
        <f t="shared" ref="C31:O31" si="11">C15+C16+C17+C18+C19+C20+C21+C22+C23+C27</f>
        <v>503781</v>
      </c>
      <c r="D31" s="1">
        <f t="shared" si="11"/>
        <v>518136</v>
      </c>
      <c r="E31" s="1">
        <f t="shared" si="11"/>
        <v>520500</v>
      </c>
      <c r="F31" s="1">
        <f t="shared" si="11"/>
        <v>517788</v>
      </c>
      <c r="G31" s="1">
        <f t="shared" si="11"/>
        <v>517858</v>
      </c>
      <c r="H31" s="1">
        <f>H15+H16+H17+H18+H19+H20+H21+H22+H23+H27</f>
        <v>480153</v>
      </c>
      <c r="I31" s="1">
        <f t="shared" si="11"/>
        <v>518958</v>
      </c>
      <c r="J31" s="1">
        <f t="shared" si="11"/>
        <v>597345</v>
      </c>
      <c r="K31" s="1">
        <f t="shared" si="11"/>
        <v>482267</v>
      </c>
      <c r="L31" s="1">
        <f t="shared" si="11"/>
        <v>517420</v>
      </c>
      <c r="M31" s="1">
        <f t="shared" si="11"/>
        <v>498930</v>
      </c>
      <c r="N31" s="1">
        <f t="shared" si="11"/>
        <v>574041</v>
      </c>
      <c r="O31" s="1">
        <f t="shared" si="11"/>
        <v>517776</v>
      </c>
      <c r="P31" s="24">
        <f>P15+P16+P17+P18+P19+P20+P21+P22+P23+P27</f>
        <v>459267</v>
      </c>
      <c r="Q31" s="1">
        <f t="shared" ref="Q31:X31" si="12">Q15+Q16+Q17+Q18+Q19+Q20+Q21+Q22+Q23+Q27</f>
        <v>478925</v>
      </c>
      <c r="R31" s="1">
        <f t="shared" si="12"/>
        <v>518421</v>
      </c>
      <c r="S31" s="1">
        <f t="shared" si="12"/>
        <v>500845</v>
      </c>
      <c r="T31" s="1">
        <f t="shared" si="12"/>
        <v>498676</v>
      </c>
      <c r="U31" s="1">
        <f t="shared" si="12"/>
        <v>518260</v>
      </c>
      <c r="V31" s="1">
        <f t="shared" si="12"/>
        <v>478890</v>
      </c>
      <c r="W31" s="1">
        <f t="shared" si="12"/>
        <v>481641</v>
      </c>
      <c r="X31" s="1">
        <f t="shared" si="12"/>
        <v>498865</v>
      </c>
      <c r="Y31" s="1">
        <f>Y15+Y16+Y17+Y18+Y19+Y20+Y21+Y22+Y23+Y27</f>
        <v>500065</v>
      </c>
      <c r="Z31" s="1">
        <f t="shared" ref="Z31:AE31" si="13">Z15+Z16+Z17+Z18+Z19+Z20+Z21+Z22+Z23+Z27</f>
        <v>499485</v>
      </c>
      <c r="AA31" s="1">
        <f t="shared" si="13"/>
        <v>478115</v>
      </c>
      <c r="AB31" s="1">
        <f t="shared" si="13"/>
        <v>520028</v>
      </c>
      <c r="AC31" s="1">
        <f t="shared" si="13"/>
        <v>490093</v>
      </c>
      <c r="AD31" s="1">
        <f t="shared" si="13"/>
        <v>479334</v>
      </c>
      <c r="AE31" s="1">
        <f t="shared" si="13"/>
        <v>498571</v>
      </c>
      <c r="AF31" s="1">
        <f>AF15+AF16+AF17+AF18+AF19+AF20+AF21+AF22+AF23+AF27</f>
        <v>500412</v>
      </c>
      <c r="AG31" s="1">
        <f t="shared" ref="AG31:AH31" si="14">AG15+AG16+AG17+AG18+AG19+AG20+AG21+AG22+AG23+AG27</f>
        <v>482984</v>
      </c>
      <c r="AH31" s="1">
        <f t="shared" si="14"/>
        <v>498858</v>
      </c>
    </row>
    <row r="33" spans="3:34">
      <c r="C33" s="18">
        <f t="shared" ref="C33:Z33" si="15">C12-C31</f>
        <v>0</v>
      </c>
      <c r="D33" s="18">
        <f t="shared" si="15"/>
        <v>0</v>
      </c>
      <c r="E33" s="18">
        <f t="shared" si="15"/>
        <v>0</v>
      </c>
      <c r="F33" s="18">
        <f t="shared" si="15"/>
        <v>0</v>
      </c>
      <c r="G33" s="18">
        <f t="shared" si="15"/>
        <v>0</v>
      </c>
      <c r="H33" s="18">
        <f t="shared" si="15"/>
        <v>0</v>
      </c>
      <c r="I33" s="18">
        <f t="shared" si="15"/>
        <v>0</v>
      </c>
      <c r="J33" s="18">
        <f t="shared" si="15"/>
        <v>0</v>
      </c>
      <c r="K33" s="18">
        <f t="shared" si="15"/>
        <v>0</v>
      </c>
      <c r="L33" s="18">
        <f t="shared" si="15"/>
        <v>0</v>
      </c>
      <c r="M33" s="18">
        <f t="shared" si="15"/>
        <v>0</v>
      </c>
      <c r="N33" s="18">
        <f t="shared" si="15"/>
        <v>0</v>
      </c>
      <c r="O33" s="18">
        <f t="shared" si="15"/>
        <v>0</v>
      </c>
      <c r="P33" s="25">
        <f t="shared" si="15"/>
        <v>0</v>
      </c>
      <c r="Q33" s="18">
        <f t="shared" si="15"/>
        <v>0</v>
      </c>
      <c r="R33" s="18">
        <f t="shared" si="15"/>
        <v>0</v>
      </c>
      <c r="S33" s="18">
        <f t="shared" si="15"/>
        <v>0</v>
      </c>
      <c r="T33" s="18">
        <f t="shared" si="15"/>
        <v>0</v>
      </c>
      <c r="U33" s="18">
        <f t="shared" si="15"/>
        <v>0</v>
      </c>
      <c r="V33" s="18">
        <f t="shared" si="15"/>
        <v>0</v>
      </c>
      <c r="W33" s="18">
        <f t="shared" si="15"/>
        <v>0</v>
      </c>
      <c r="X33" s="18">
        <f t="shared" si="15"/>
        <v>0</v>
      </c>
      <c r="Y33" s="18">
        <f t="shared" si="15"/>
        <v>0</v>
      </c>
      <c r="Z33" s="18">
        <f t="shared" si="15"/>
        <v>0</v>
      </c>
      <c r="AA33" s="18">
        <f t="shared" ref="AA33:AG33" si="16">AA12-AA31</f>
        <v>0</v>
      </c>
      <c r="AB33" s="18">
        <f t="shared" si="16"/>
        <v>0</v>
      </c>
      <c r="AC33" s="18">
        <f t="shared" si="16"/>
        <v>0</v>
      </c>
      <c r="AD33" s="18">
        <f t="shared" si="16"/>
        <v>0</v>
      </c>
      <c r="AE33" s="18">
        <f t="shared" si="16"/>
        <v>0</v>
      </c>
      <c r="AF33" s="18">
        <f t="shared" si="16"/>
        <v>0</v>
      </c>
      <c r="AG33" s="18">
        <f t="shared" si="16"/>
        <v>0</v>
      </c>
      <c r="AH33" s="18">
        <f t="shared" ref="AH33" si="17">AH12-AH31</f>
        <v>0</v>
      </c>
    </row>
    <row r="35" spans="3:34">
      <c r="L35" s="1" t="s">
        <v>110</v>
      </c>
    </row>
    <row r="37" spans="3:34">
      <c r="L37" t="s">
        <v>111</v>
      </c>
    </row>
    <row r="38" spans="3:34">
      <c r="L38" t="s">
        <v>113</v>
      </c>
    </row>
    <row r="39" spans="3:34">
      <c r="L39" t="s">
        <v>112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workbookViewId="0">
      <selection activeCell="B18" sqref="B18"/>
    </sheetView>
  </sheetViews>
  <sheetFormatPr defaultRowHeight="15"/>
  <cols>
    <col min="2" max="2" width="23.140625" bestFit="1" customWidth="1"/>
    <col min="3" max="3" width="13.85546875" bestFit="1" customWidth="1"/>
    <col min="4" max="12" width="11.5703125" bestFit="1" customWidth="1"/>
    <col min="13" max="13" width="12.85546875" customWidth="1"/>
    <col min="14" max="14" width="11.5703125" bestFit="1" customWidth="1"/>
    <col min="15" max="15" width="13.140625" customWidth="1"/>
    <col min="16" max="17" width="11.5703125" bestFit="1" customWidth="1"/>
    <col min="18" max="18" width="17" customWidth="1"/>
    <col min="19" max="21" width="11.5703125" bestFit="1" customWidth="1"/>
    <col min="22" max="22" width="13.42578125" customWidth="1"/>
    <col min="23" max="25" width="11.5703125" bestFit="1" customWidth="1"/>
    <col min="26" max="26" width="14.140625" customWidth="1"/>
    <col min="27" max="27" width="16.42578125" customWidth="1"/>
  </cols>
  <sheetData>
    <row r="1" spans="1:27">
      <c r="B1" s="1" t="s">
        <v>35</v>
      </c>
      <c r="C1" s="1" t="s">
        <v>49</v>
      </c>
      <c r="D1" s="1"/>
      <c r="E1" s="1"/>
      <c r="F1" s="1"/>
      <c r="G1" s="1"/>
      <c r="H1" s="1"/>
      <c r="I1" s="1"/>
    </row>
    <row r="2" spans="1:27" ht="30">
      <c r="B2" s="1" t="s">
        <v>36</v>
      </c>
      <c r="C2" s="6" t="s">
        <v>50</v>
      </c>
      <c r="D2" s="6" t="s">
        <v>51</v>
      </c>
      <c r="E2" s="6" t="s">
        <v>52</v>
      </c>
      <c r="F2" s="6" t="s">
        <v>53</v>
      </c>
      <c r="G2" s="6" t="s">
        <v>54</v>
      </c>
      <c r="H2" s="6" t="s">
        <v>55</v>
      </c>
      <c r="I2" s="6" t="s">
        <v>56</v>
      </c>
      <c r="J2" s="6" t="s">
        <v>57</v>
      </c>
      <c r="K2" s="6" t="s">
        <v>59</v>
      </c>
      <c r="L2" s="6" t="s">
        <v>60</v>
      </c>
      <c r="M2" s="6" t="s">
        <v>61</v>
      </c>
      <c r="N2" s="6" t="s">
        <v>62</v>
      </c>
      <c r="O2" s="6" t="s">
        <v>63</v>
      </c>
      <c r="P2" s="6" t="s">
        <v>64</v>
      </c>
      <c r="Q2" s="6" t="s">
        <v>65</v>
      </c>
      <c r="R2" s="6" t="s">
        <v>66</v>
      </c>
      <c r="S2" s="6" t="s">
        <v>67</v>
      </c>
      <c r="T2" s="6" t="s">
        <v>68</v>
      </c>
      <c r="U2" s="6" t="s">
        <v>69</v>
      </c>
      <c r="V2" s="6" t="s">
        <v>70</v>
      </c>
      <c r="W2" s="6" t="s">
        <v>71</v>
      </c>
      <c r="X2" s="6" t="s">
        <v>72</v>
      </c>
      <c r="Y2" s="6" t="s">
        <v>73</v>
      </c>
      <c r="Z2" s="6" t="s">
        <v>74</v>
      </c>
      <c r="AA2" s="6" t="s">
        <v>75</v>
      </c>
    </row>
    <row r="3" spans="1:27">
      <c r="B3" s="2" t="s">
        <v>0</v>
      </c>
      <c r="C3" s="3"/>
      <c r="D3" s="3"/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T3" s="3"/>
      <c r="U3" s="3"/>
      <c r="V3" s="3"/>
      <c r="W3" s="3"/>
      <c r="X3" s="3"/>
      <c r="Y3" s="3"/>
      <c r="Z3" s="3"/>
    </row>
    <row r="4" spans="1:27" ht="30">
      <c r="A4" s="17">
        <v>1</v>
      </c>
      <c r="B4" s="11" t="s">
        <v>30</v>
      </c>
      <c r="C4" s="9">
        <v>100000</v>
      </c>
      <c r="D4" s="9">
        <v>100000</v>
      </c>
      <c r="E4" s="9">
        <v>100000</v>
      </c>
      <c r="F4" s="9">
        <v>100000</v>
      </c>
      <c r="G4" s="9">
        <v>100000</v>
      </c>
      <c r="H4" s="9">
        <v>100000</v>
      </c>
      <c r="I4" s="9">
        <v>100000</v>
      </c>
      <c r="J4" s="9">
        <v>100000</v>
      </c>
      <c r="K4" s="9">
        <v>100000</v>
      </c>
      <c r="L4" s="9">
        <v>100000</v>
      </c>
      <c r="M4" s="9">
        <v>100000</v>
      </c>
      <c r="N4" s="9">
        <v>100000</v>
      </c>
      <c r="O4" s="9">
        <v>100000</v>
      </c>
      <c r="P4" s="9">
        <v>100000</v>
      </c>
      <c r="Q4" s="9">
        <v>100000</v>
      </c>
      <c r="R4" s="9">
        <v>100000</v>
      </c>
      <c r="S4" s="9">
        <v>100000</v>
      </c>
      <c r="T4" s="9">
        <v>100000</v>
      </c>
      <c r="U4" s="9">
        <v>100000</v>
      </c>
      <c r="V4" s="9">
        <v>100000</v>
      </c>
      <c r="W4" s="9">
        <v>100000</v>
      </c>
      <c r="X4" s="9">
        <v>100000</v>
      </c>
      <c r="Y4" s="9">
        <v>100000</v>
      </c>
      <c r="Z4" s="9">
        <v>100000</v>
      </c>
      <c r="AA4" s="9">
        <v>0</v>
      </c>
    </row>
    <row r="5" spans="1:27" ht="30">
      <c r="A5" s="17">
        <v>2</v>
      </c>
      <c r="B5" s="11" t="s">
        <v>29</v>
      </c>
      <c r="C5" s="9">
        <v>75000</v>
      </c>
      <c r="D5" s="9">
        <v>75000</v>
      </c>
      <c r="E5" s="9">
        <v>75000</v>
      </c>
      <c r="F5" s="9">
        <v>75000</v>
      </c>
      <c r="G5" s="9">
        <v>75000</v>
      </c>
      <c r="H5" s="9">
        <v>75000</v>
      </c>
      <c r="I5" s="9">
        <v>75000</v>
      </c>
      <c r="J5" s="9">
        <v>75000</v>
      </c>
      <c r="K5" s="9">
        <v>75000</v>
      </c>
      <c r="L5" s="9">
        <v>75000</v>
      </c>
      <c r="M5" s="9">
        <v>75000</v>
      </c>
      <c r="N5" s="9">
        <v>75000</v>
      </c>
      <c r="O5" s="9">
        <v>75000</v>
      </c>
      <c r="P5" s="9">
        <v>75000</v>
      </c>
      <c r="Q5" s="9">
        <v>75000</v>
      </c>
      <c r="R5" s="9">
        <v>75000</v>
      </c>
      <c r="S5" s="9">
        <v>75000</v>
      </c>
      <c r="T5" s="9">
        <v>75000</v>
      </c>
      <c r="U5" s="9">
        <v>75000</v>
      </c>
      <c r="V5" s="9">
        <v>75000</v>
      </c>
      <c r="W5" s="9">
        <v>75000</v>
      </c>
      <c r="X5" s="9">
        <v>75000</v>
      </c>
      <c r="Y5" s="9">
        <v>75000</v>
      </c>
      <c r="Z5" s="9">
        <v>75000</v>
      </c>
      <c r="AA5" s="9">
        <v>0</v>
      </c>
    </row>
    <row r="6" spans="1:27" ht="30">
      <c r="A6" s="17">
        <v>3</v>
      </c>
      <c r="B6" s="11" t="s">
        <v>28</v>
      </c>
      <c r="C6" s="9">
        <v>200000</v>
      </c>
      <c r="D6" s="9">
        <v>200000</v>
      </c>
      <c r="E6" s="9">
        <v>200000</v>
      </c>
      <c r="F6" s="9">
        <v>200000</v>
      </c>
      <c r="G6" s="9">
        <v>200000</v>
      </c>
      <c r="H6" s="9">
        <v>200000</v>
      </c>
      <c r="I6" s="9">
        <v>200000</v>
      </c>
      <c r="J6" s="9">
        <v>200000</v>
      </c>
      <c r="K6" s="9">
        <v>200000</v>
      </c>
      <c r="L6" s="9">
        <v>200000</v>
      </c>
      <c r="M6" s="9">
        <v>200000</v>
      </c>
      <c r="N6" s="9">
        <v>200000</v>
      </c>
      <c r="O6" s="9">
        <v>200000</v>
      </c>
      <c r="P6" s="9">
        <v>200000</v>
      </c>
      <c r="Q6" s="9">
        <v>200000</v>
      </c>
      <c r="R6" s="9">
        <v>200000</v>
      </c>
      <c r="S6" s="9">
        <v>200000</v>
      </c>
      <c r="T6" s="9">
        <v>200000</v>
      </c>
      <c r="U6" s="9">
        <v>200000</v>
      </c>
      <c r="V6" s="9">
        <v>200000</v>
      </c>
      <c r="W6" s="9">
        <v>200000</v>
      </c>
      <c r="X6" s="9">
        <v>200000</v>
      </c>
      <c r="Y6" s="9">
        <v>200000</v>
      </c>
      <c r="Z6" s="9">
        <v>200000</v>
      </c>
      <c r="AA6" s="9">
        <v>0</v>
      </c>
    </row>
    <row r="7" spans="1:27" ht="30">
      <c r="A7" s="17">
        <v>4</v>
      </c>
      <c r="B7" s="11" t="s">
        <v>26</v>
      </c>
      <c r="C7" s="9">
        <v>43290</v>
      </c>
      <c r="D7" s="9">
        <v>43290</v>
      </c>
      <c r="E7" s="9">
        <v>43290</v>
      </c>
      <c r="F7" s="9">
        <v>43290</v>
      </c>
      <c r="G7" s="9">
        <v>43290</v>
      </c>
      <c r="H7" s="9">
        <v>43290</v>
      </c>
      <c r="I7" s="9">
        <v>43290</v>
      </c>
      <c r="J7" s="9">
        <v>43290</v>
      </c>
      <c r="K7" s="9">
        <v>43290</v>
      </c>
      <c r="L7" s="9">
        <v>43290</v>
      </c>
      <c r="M7" s="9">
        <v>43290</v>
      </c>
      <c r="N7" s="9">
        <v>43290</v>
      </c>
      <c r="O7" s="9">
        <v>43290</v>
      </c>
      <c r="P7" s="9">
        <v>43290</v>
      </c>
      <c r="Q7" s="9">
        <v>43290</v>
      </c>
      <c r="R7" s="9">
        <v>43290</v>
      </c>
      <c r="S7" s="9">
        <v>43290</v>
      </c>
      <c r="T7" s="9">
        <v>43290</v>
      </c>
      <c r="U7" s="9">
        <v>43290</v>
      </c>
      <c r="V7" s="9">
        <v>43290</v>
      </c>
      <c r="W7" s="9">
        <v>43290</v>
      </c>
      <c r="X7" s="9">
        <v>43290</v>
      </c>
      <c r="Y7" s="9">
        <v>43290</v>
      </c>
      <c r="Z7" s="9">
        <v>43290</v>
      </c>
      <c r="AA7" s="9">
        <v>0</v>
      </c>
    </row>
    <row r="8" spans="1:27" ht="30">
      <c r="A8" s="17">
        <v>5</v>
      </c>
      <c r="B8" s="11" t="s">
        <v>27</v>
      </c>
      <c r="C8" s="9">
        <v>56630</v>
      </c>
      <c r="D8" s="9">
        <v>56630</v>
      </c>
      <c r="E8" s="9">
        <v>56630</v>
      </c>
      <c r="F8" s="9">
        <v>56630</v>
      </c>
      <c r="G8" s="9">
        <v>56630</v>
      </c>
      <c r="H8" s="9">
        <v>56630</v>
      </c>
      <c r="I8" s="9">
        <v>56630</v>
      </c>
      <c r="J8" s="9">
        <v>56630</v>
      </c>
      <c r="K8" s="9">
        <v>56630</v>
      </c>
      <c r="L8" s="9">
        <v>56630</v>
      </c>
      <c r="M8" s="9">
        <v>56630</v>
      </c>
      <c r="N8" s="9">
        <v>56630</v>
      </c>
      <c r="O8" s="9">
        <v>56630</v>
      </c>
      <c r="P8" s="9">
        <v>56630</v>
      </c>
      <c r="Q8" s="9">
        <v>56630</v>
      </c>
      <c r="R8" s="9">
        <v>56630</v>
      </c>
      <c r="S8" s="9">
        <v>56630</v>
      </c>
      <c r="T8" s="9">
        <v>56630</v>
      </c>
      <c r="U8" s="9">
        <v>56630</v>
      </c>
      <c r="V8" s="9">
        <v>56630</v>
      </c>
      <c r="W8" s="9">
        <v>56630</v>
      </c>
      <c r="X8" s="9">
        <v>56630</v>
      </c>
      <c r="Y8" s="9">
        <v>56630</v>
      </c>
      <c r="Z8" s="9">
        <v>56630</v>
      </c>
      <c r="AA8" s="9">
        <v>0</v>
      </c>
    </row>
    <row r="9" spans="1:27">
      <c r="A9" s="17">
        <v>6</v>
      </c>
      <c r="B9" s="11" t="s">
        <v>37</v>
      </c>
      <c r="C9" s="9">
        <f>229+4782-455</f>
        <v>4556</v>
      </c>
      <c r="D9">
        <f>55+3028+654</f>
        <v>3737</v>
      </c>
      <c r="E9">
        <f>88+285+653</f>
        <v>1026</v>
      </c>
      <c r="F9" s="1">
        <f>229+3904-188</f>
        <v>3945</v>
      </c>
      <c r="G9">
        <f>55+3558</f>
        <v>3613</v>
      </c>
      <c r="H9">
        <f>129+2839-100</f>
        <v>2868</v>
      </c>
      <c r="I9">
        <f>99+2904</f>
        <v>3003</v>
      </c>
      <c r="J9">
        <f>106+2649</f>
        <v>2755</v>
      </c>
      <c r="K9" s="9">
        <f>-169</f>
        <v>-169</v>
      </c>
      <c r="L9">
        <f>129+2876</f>
        <v>3005</v>
      </c>
      <c r="M9">
        <f>132+3029</f>
        <v>3161</v>
      </c>
      <c r="N9" s="1">
        <f>210+4077</f>
        <v>4287</v>
      </c>
      <c r="O9">
        <v>2726</v>
      </c>
      <c r="P9">
        <f>347+4833</f>
        <v>5180</v>
      </c>
      <c r="Q9">
        <f>128+2798</f>
        <v>2926</v>
      </c>
      <c r="R9">
        <f>132+3111</f>
        <v>3243</v>
      </c>
      <c r="S9">
        <f>71+4058-63</f>
        <v>4066</v>
      </c>
      <c r="T9" s="9">
        <f>33+2682</f>
        <v>2715</v>
      </c>
      <c r="U9">
        <f>55+3241</f>
        <v>3296</v>
      </c>
      <c r="V9">
        <f>43+2802</f>
        <v>2845</v>
      </c>
      <c r="W9" s="1">
        <f>38+3174-300</f>
        <v>2912</v>
      </c>
      <c r="X9">
        <f>175+3597</f>
        <v>3772</v>
      </c>
      <c r="Y9">
        <f>82+2758-140-1</f>
        <v>2699</v>
      </c>
      <c r="Z9">
        <f>3947-100</f>
        <v>3847</v>
      </c>
      <c r="AA9">
        <v>0</v>
      </c>
    </row>
    <row r="10" spans="1:27" ht="45">
      <c r="A10" s="17">
        <v>7</v>
      </c>
      <c r="B10" s="12" t="s">
        <v>44</v>
      </c>
      <c r="C10" s="9">
        <v>0</v>
      </c>
      <c r="D10" s="9">
        <v>0</v>
      </c>
      <c r="E10" s="9">
        <v>0</v>
      </c>
      <c r="F10" s="1">
        <v>827</v>
      </c>
      <c r="G10" s="9">
        <f>653+1+21624</f>
        <v>22278</v>
      </c>
      <c r="H10">
        <v>0</v>
      </c>
      <c r="I10">
        <v>0</v>
      </c>
      <c r="J10" s="9">
        <v>1000</v>
      </c>
      <c r="K10" s="9">
        <v>0</v>
      </c>
      <c r="L10" s="9">
        <v>0</v>
      </c>
      <c r="M10" s="9">
        <v>0</v>
      </c>
      <c r="N10" s="1">
        <v>0</v>
      </c>
      <c r="O10" s="9">
        <v>0</v>
      </c>
      <c r="P10">
        <f>7531-348</f>
        <v>7183</v>
      </c>
      <c r="Q10">
        <f>63-10</f>
        <v>53</v>
      </c>
      <c r="R10" s="9">
        <v>0</v>
      </c>
      <c r="S10" s="9">
        <v>0</v>
      </c>
      <c r="T10" s="9">
        <v>80</v>
      </c>
      <c r="U10" s="9">
        <v>0</v>
      </c>
      <c r="V10" s="9">
        <v>0</v>
      </c>
      <c r="W10" s="1">
        <v>0</v>
      </c>
      <c r="X10" s="9">
        <f>3+471</f>
        <v>474</v>
      </c>
      <c r="Y10">
        <v>0</v>
      </c>
      <c r="Z10">
        <v>429</v>
      </c>
      <c r="AA10" s="9">
        <v>0</v>
      </c>
    </row>
    <row r="11" spans="1:27">
      <c r="B11" s="12"/>
      <c r="C11" s="9"/>
      <c r="F11" s="1"/>
      <c r="K11" s="9"/>
      <c r="N11" s="1"/>
      <c r="T11" s="9"/>
      <c r="W11" s="1"/>
    </row>
    <row r="12" spans="1:27">
      <c r="B12" s="13" t="s">
        <v>34</v>
      </c>
      <c r="C12" s="10">
        <f t="shared" ref="C12:J12" si="0">SUM(C4:C11)</f>
        <v>479476</v>
      </c>
      <c r="D12" s="10">
        <f t="shared" si="0"/>
        <v>478657</v>
      </c>
      <c r="E12" s="10">
        <f t="shared" si="0"/>
        <v>475946</v>
      </c>
      <c r="F12" s="10">
        <f t="shared" si="0"/>
        <v>479692</v>
      </c>
      <c r="G12" s="10">
        <f t="shared" si="0"/>
        <v>500811</v>
      </c>
      <c r="H12" s="10">
        <f t="shared" si="0"/>
        <v>477788</v>
      </c>
      <c r="I12" s="10">
        <f t="shared" si="0"/>
        <v>477923</v>
      </c>
      <c r="J12" s="10">
        <f t="shared" si="0"/>
        <v>478675</v>
      </c>
      <c r="K12" s="10">
        <f t="shared" ref="K12:S12" si="1">SUM(K4:K11)</f>
        <v>474751</v>
      </c>
      <c r="L12" s="10">
        <f t="shared" si="1"/>
        <v>477925</v>
      </c>
      <c r="M12" s="10">
        <f t="shared" si="1"/>
        <v>478081</v>
      </c>
      <c r="N12" s="10">
        <f t="shared" si="1"/>
        <v>479207</v>
      </c>
      <c r="O12" s="10">
        <f t="shared" si="1"/>
        <v>477646</v>
      </c>
      <c r="P12" s="10">
        <f t="shared" si="1"/>
        <v>487283</v>
      </c>
      <c r="Q12" s="10">
        <f t="shared" si="1"/>
        <v>477899</v>
      </c>
      <c r="R12" s="10">
        <f t="shared" si="1"/>
        <v>478163</v>
      </c>
      <c r="S12" s="10">
        <f t="shared" si="1"/>
        <v>478986</v>
      </c>
      <c r="T12" s="10">
        <f t="shared" ref="T12:AA12" si="2">SUM(T4:T11)</f>
        <v>477715</v>
      </c>
      <c r="U12" s="10">
        <f t="shared" si="2"/>
        <v>478216</v>
      </c>
      <c r="V12" s="10">
        <f t="shared" si="2"/>
        <v>477765</v>
      </c>
      <c r="W12" s="10">
        <f t="shared" si="2"/>
        <v>477832</v>
      </c>
      <c r="X12" s="10">
        <f t="shared" si="2"/>
        <v>479166</v>
      </c>
      <c r="Y12" s="10">
        <f t="shared" si="2"/>
        <v>477619</v>
      </c>
      <c r="Z12" s="10">
        <f t="shared" si="2"/>
        <v>479196</v>
      </c>
      <c r="AA12" s="10">
        <f t="shared" si="2"/>
        <v>0</v>
      </c>
    </row>
    <row r="13" spans="1:27">
      <c r="B13" s="14"/>
      <c r="F13" s="6"/>
      <c r="N13" s="6"/>
      <c r="W13" s="6"/>
    </row>
    <row r="14" spans="1:27">
      <c r="B14" s="13" t="s">
        <v>2</v>
      </c>
    </row>
    <row r="15" spans="1:27">
      <c r="A15">
        <v>1</v>
      </c>
      <c r="B15" s="15" t="s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5052</v>
      </c>
      <c r="P15">
        <v>0</v>
      </c>
      <c r="Q15">
        <v>0</v>
      </c>
      <c r="R15">
        <v>4000</v>
      </c>
      <c r="S15">
        <v>4000</v>
      </c>
      <c r="T15">
        <v>0</v>
      </c>
      <c r="U15">
        <v>0</v>
      </c>
      <c r="V15">
        <v>8700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>
      <c r="A16">
        <v>2</v>
      </c>
      <c r="B16" s="15" t="s">
        <v>15</v>
      </c>
      <c r="C16">
        <v>0</v>
      </c>
      <c r="D16">
        <v>8950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>
      <c r="A17">
        <v>3</v>
      </c>
      <c r="B17" s="15" t="s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ht="30">
      <c r="A18" s="17">
        <v>4</v>
      </c>
      <c r="B18" s="11" t="s">
        <v>17</v>
      </c>
      <c r="C18">
        <v>3689</v>
      </c>
      <c r="D18">
        <v>18000</v>
      </c>
      <c r="E18">
        <v>4092</v>
      </c>
      <c r="F18">
        <v>7963</v>
      </c>
      <c r="G18">
        <f>5490-295</f>
        <v>5195</v>
      </c>
      <c r="H18">
        <v>10629</v>
      </c>
      <c r="I18">
        <v>0</v>
      </c>
      <c r="J18">
        <v>9700</v>
      </c>
      <c r="K18">
        <v>0</v>
      </c>
      <c r="L18">
        <v>0</v>
      </c>
      <c r="M18">
        <v>11980</v>
      </c>
      <c r="N18">
        <v>4000</v>
      </c>
      <c r="O18">
        <v>13719</v>
      </c>
      <c r="P18">
        <v>14090</v>
      </c>
      <c r="Q18">
        <v>0</v>
      </c>
      <c r="R18">
        <v>23400</v>
      </c>
      <c r="S18">
        <v>0</v>
      </c>
      <c r="T18">
        <v>0</v>
      </c>
      <c r="U18">
        <v>7890</v>
      </c>
      <c r="V18">
        <f>42062+36273+100040-V23</f>
        <v>85875</v>
      </c>
      <c r="W18">
        <v>10000</v>
      </c>
      <c r="X18">
        <v>0</v>
      </c>
      <c r="Y18">
        <v>8320</v>
      </c>
      <c r="Z18">
        <v>5000</v>
      </c>
      <c r="AA18">
        <v>0</v>
      </c>
    </row>
    <row r="19" spans="1:27">
      <c r="A19">
        <v>5</v>
      </c>
      <c r="B19" s="15" t="s">
        <v>18</v>
      </c>
      <c r="C19">
        <v>2590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ht="30">
      <c r="A20" s="17">
        <v>6</v>
      </c>
      <c r="B20" s="11" t="s">
        <v>19</v>
      </c>
      <c r="C20">
        <v>0</v>
      </c>
      <c r="D20">
        <f>32700+6000</f>
        <v>38700</v>
      </c>
      <c r="E20">
        <v>0</v>
      </c>
      <c r="F20">
        <v>0</v>
      </c>
      <c r="G20">
        <v>295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ht="30">
      <c r="A21" s="17">
        <v>7</v>
      </c>
      <c r="B21" s="12" t="s">
        <v>21</v>
      </c>
      <c r="C21">
        <f>56354+11400</f>
        <v>67754</v>
      </c>
      <c r="D21">
        <v>0</v>
      </c>
      <c r="E21">
        <f>29402+6507</f>
        <v>35909</v>
      </c>
      <c r="F21">
        <f>13187+96600-F23</f>
        <v>24479</v>
      </c>
      <c r="G21">
        <f>10352+83317-G23</f>
        <v>12519</v>
      </c>
      <c r="H21">
        <f>49371+99500-H23</f>
        <v>57371</v>
      </c>
      <c r="I21">
        <f>42945+98000-I23</f>
        <v>47945</v>
      </c>
      <c r="J21">
        <f>40804+98000-J23-3899</f>
        <v>41905</v>
      </c>
      <c r="K21">
        <f>11086+18728+100010-K23</f>
        <v>34824</v>
      </c>
      <c r="L21">
        <f>44153+18352+99005-L23</f>
        <v>71510</v>
      </c>
      <c r="M21">
        <f>25500+100000-M23</f>
        <v>32500</v>
      </c>
      <c r="N21">
        <f>18423+93800-N23</f>
        <v>23423</v>
      </c>
      <c r="O21">
        <v>44773</v>
      </c>
      <c r="P21">
        <f>58609+98000-P23</f>
        <v>62609</v>
      </c>
      <c r="Q21">
        <f>68406+11366+99942-Q23</f>
        <v>88214</v>
      </c>
      <c r="R21">
        <f>20200+95000-R23</f>
        <v>23000</v>
      </c>
      <c r="S21">
        <f>18712+100000-S23</f>
        <v>26872</v>
      </c>
      <c r="T21">
        <f>22530+98000-T23</f>
        <v>27530</v>
      </c>
      <c r="U21">
        <f>20360+90000-U23</f>
        <v>29210</v>
      </c>
      <c r="V21">
        <v>0</v>
      </c>
      <c r="W21">
        <f>10019+95000-W23</f>
        <v>13519</v>
      </c>
      <c r="X21">
        <f>40740+98000-X23</f>
        <v>46040</v>
      </c>
      <c r="Y21">
        <f>28122+98000-Y23</f>
        <v>31622</v>
      </c>
      <c r="Z21">
        <f>55372</f>
        <v>55372</v>
      </c>
      <c r="AA21">
        <v>0</v>
      </c>
    </row>
    <row r="22" spans="1:27">
      <c r="A22">
        <v>8</v>
      </c>
      <c r="B22" s="12" t="s">
        <v>22</v>
      </c>
      <c r="E22">
        <v>0</v>
      </c>
      <c r="H22">
        <v>0</v>
      </c>
      <c r="I22">
        <v>0</v>
      </c>
      <c r="J22">
        <v>0</v>
      </c>
      <c r="M22">
        <v>0</v>
      </c>
      <c r="P22">
        <v>0</v>
      </c>
      <c r="Q22">
        <v>0</v>
      </c>
      <c r="R22">
        <v>0</v>
      </c>
      <c r="S22">
        <v>0</v>
      </c>
      <c r="V22">
        <v>0</v>
      </c>
      <c r="Y22">
        <v>0</v>
      </c>
      <c r="Z22">
        <v>0</v>
      </c>
      <c r="AA22">
        <v>0</v>
      </c>
    </row>
    <row r="23" spans="1:27">
      <c r="A23">
        <v>9</v>
      </c>
      <c r="B23" s="16" t="s">
        <v>31</v>
      </c>
      <c r="C23">
        <f t="shared" ref="C23:J23" si="3">C24+C25+C26</f>
        <v>86600</v>
      </c>
      <c r="D23">
        <f t="shared" si="3"/>
        <v>91800</v>
      </c>
      <c r="E23">
        <f t="shared" si="3"/>
        <v>90000</v>
      </c>
      <c r="F23">
        <f t="shared" si="3"/>
        <v>85308</v>
      </c>
      <c r="G23">
        <f t="shared" si="3"/>
        <v>81150</v>
      </c>
      <c r="H23">
        <f t="shared" si="3"/>
        <v>91500</v>
      </c>
      <c r="I23">
        <f t="shared" si="3"/>
        <v>93000</v>
      </c>
      <c r="J23">
        <f t="shared" si="3"/>
        <v>93000</v>
      </c>
      <c r="K23">
        <f t="shared" ref="K23:S23" si="4">K24+K25+K26</f>
        <v>95000</v>
      </c>
      <c r="L23">
        <f t="shared" si="4"/>
        <v>90000</v>
      </c>
      <c r="M23">
        <f t="shared" si="4"/>
        <v>93000</v>
      </c>
      <c r="N23">
        <f t="shared" si="4"/>
        <v>88800</v>
      </c>
      <c r="O23">
        <f>O24+O25+O26</f>
        <v>97800</v>
      </c>
      <c r="P23">
        <f t="shared" si="4"/>
        <v>94000</v>
      </c>
      <c r="Q23">
        <f t="shared" si="4"/>
        <v>91500</v>
      </c>
      <c r="R23">
        <f t="shared" si="4"/>
        <v>92200</v>
      </c>
      <c r="S23">
        <f t="shared" si="4"/>
        <v>91840</v>
      </c>
      <c r="T23">
        <f t="shared" ref="T23:W23" si="5">T24+T25+T26</f>
        <v>93000</v>
      </c>
      <c r="U23">
        <f t="shared" si="5"/>
        <v>81150</v>
      </c>
      <c r="V23">
        <f t="shared" si="5"/>
        <v>92500</v>
      </c>
      <c r="W23">
        <f t="shared" si="5"/>
        <v>91500</v>
      </c>
      <c r="X23">
        <f>X24+X25+X26</f>
        <v>92700</v>
      </c>
      <c r="Y23">
        <f t="shared" ref="Y23:Z23" si="6">Y24+Y25+Y26</f>
        <v>94500</v>
      </c>
      <c r="Z23">
        <f t="shared" si="6"/>
        <v>93000</v>
      </c>
      <c r="AA23">
        <v>0</v>
      </c>
    </row>
    <row r="24" spans="1:27" ht="30">
      <c r="B24" s="12" t="s">
        <v>38</v>
      </c>
      <c r="C24">
        <v>2900</v>
      </c>
      <c r="D24">
        <v>3000</v>
      </c>
      <c r="F24">
        <v>1200</v>
      </c>
      <c r="G24">
        <v>0</v>
      </c>
      <c r="H24">
        <v>1500</v>
      </c>
      <c r="I24">
        <v>1500</v>
      </c>
      <c r="J24">
        <v>1500</v>
      </c>
      <c r="K24">
        <v>5000</v>
      </c>
      <c r="L24">
        <v>0</v>
      </c>
      <c r="M24">
        <v>1500</v>
      </c>
      <c r="N24">
        <v>0</v>
      </c>
      <c r="O24">
        <v>1500</v>
      </c>
      <c r="P24">
        <v>1500</v>
      </c>
      <c r="Q24">
        <v>1500</v>
      </c>
      <c r="R24">
        <v>2200</v>
      </c>
      <c r="S24">
        <v>1840</v>
      </c>
      <c r="T24">
        <v>0</v>
      </c>
      <c r="U24">
        <v>1150</v>
      </c>
      <c r="V24">
        <v>2500</v>
      </c>
      <c r="W24">
        <v>1500</v>
      </c>
      <c r="X24">
        <v>1500</v>
      </c>
      <c r="Y24">
        <v>0</v>
      </c>
      <c r="Z24">
        <v>0</v>
      </c>
      <c r="AA24">
        <v>0</v>
      </c>
    </row>
    <row r="25" spans="1:27">
      <c r="B25" s="12" t="s">
        <v>32</v>
      </c>
      <c r="C25">
        <f>82500+1200</f>
        <v>83700</v>
      </c>
      <c r="D25">
        <v>88800</v>
      </c>
      <c r="E25">
        <v>90000</v>
      </c>
      <c r="F25">
        <v>82500</v>
      </c>
      <c r="G25">
        <v>81150</v>
      </c>
      <c r="H25">
        <v>90000</v>
      </c>
      <c r="I25">
        <v>90000</v>
      </c>
      <c r="J25">
        <v>90000</v>
      </c>
      <c r="K25">
        <v>90000</v>
      </c>
      <c r="L25">
        <v>90000</v>
      </c>
      <c r="M25">
        <v>90000</v>
      </c>
      <c r="N25">
        <v>88800</v>
      </c>
      <c r="O25">
        <v>94800</v>
      </c>
      <c r="P25">
        <v>91000</v>
      </c>
      <c r="Q25">
        <v>90000</v>
      </c>
      <c r="R25">
        <v>90000</v>
      </c>
      <c r="S25">
        <v>90000</v>
      </c>
      <c r="T25">
        <v>91500</v>
      </c>
      <c r="U25">
        <v>80000</v>
      </c>
      <c r="V25">
        <v>90000</v>
      </c>
      <c r="W25">
        <v>90000</v>
      </c>
      <c r="X25">
        <f>88500+1200</f>
        <v>89700</v>
      </c>
      <c r="Y25">
        <v>94500</v>
      </c>
      <c r="Z25">
        <v>93000</v>
      </c>
      <c r="AA25">
        <v>0</v>
      </c>
    </row>
    <row r="26" spans="1:27">
      <c r="B26" s="12" t="s">
        <v>33</v>
      </c>
      <c r="C26">
        <v>0</v>
      </c>
      <c r="D26">
        <v>0</v>
      </c>
      <c r="F26">
        <v>1608</v>
      </c>
      <c r="H26">
        <v>0</v>
      </c>
      <c r="I26">
        <v>1500</v>
      </c>
      <c r="J26">
        <v>1500</v>
      </c>
      <c r="K26">
        <v>0</v>
      </c>
      <c r="L26">
        <v>0</v>
      </c>
      <c r="M26">
        <v>1500</v>
      </c>
      <c r="N26">
        <v>0</v>
      </c>
      <c r="O26">
        <v>1500</v>
      </c>
      <c r="P26">
        <v>1500</v>
      </c>
      <c r="Q26">
        <v>0</v>
      </c>
      <c r="R26">
        <v>0</v>
      </c>
      <c r="S26">
        <v>0</v>
      </c>
      <c r="T26">
        <v>1500</v>
      </c>
      <c r="U26">
        <v>0</v>
      </c>
      <c r="V26">
        <v>0</v>
      </c>
      <c r="W26">
        <v>0</v>
      </c>
      <c r="X26">
        <v>1500</v>
      </c>
      <c r="Y26">
        <v>0</v>
      </c>
      <c r="Z26">
        <v>0</v>
      </c>
      <c r="AA26">
        <v>0</v>
      </c>
    </row>
    <row r="27" spans="1:27">
      <c r="A27">
        <v>10</v>
      </c>
      <c r="B27" s="13" t="s">
        <v>23</v>
      </c>
      <c r="C27">
        <f t="shared" ref="C27:J27" si="7">C28+C29</f>
        <v>318843</v>
      </c>
      <c r="D27">
        <f t="shared" si="7"/>
        <v>321207</v>
      </c>
      <c r="E27">
        <f t="shared" si="7"/>
        <v>345945</v>
      </c>
      <c r="F27">
        <f t="shared" si="7"/>
        <v>361942</v>
      </c>
      <c r="G27">
        <f t="shared" si="7"/>
        <v>401652</v>
      </c>
      <c r="H27">
        <f t="shared" si="7"/>
        <v>318288</v>
      </c>
      <c r="I27">
        <f t="shared" si="7"/>
        <v>336978</v>
      </c>
      <c r="J27">
        <f t="shared" si="7"/>
        <v>334070</v>
      </c>
      <c r="K27">
        <f t="shared" ref="K27:S27" si="8">K28+K29</f>
        <v>344927</v>
      </c>
      <c r="L27">
        <f t="shared" si="8"/>
        <v>316415</v>
      </c>
      <c r="M27">
        <f t="shared" si="8"/>
        <v>340601</v>
      </c>
      <c r="N27">
        <f t="shared" si="8"/>
        <v>362984</v>
      </c>
      <c r="O27">
        <f t="shared" si="8"/>
        <v>316302</v>
      </c>
      <c r="P27">
        <f t="shared" si="8"/>
        <v>316584</v>
      </c>
      <c r="Q27">
        <f t="shared" si="8"/>
        <v>298185</v>
      </c>
      <c r="R27">
        <f t="shared" si="8"/>
        <v>335563</v>
      </c>
      <c r="S27">
        <f t="shared" si="8"/>
        <v>356274</v>
      </c>
      <c r="T27">
        <f t="shared" ref="T27:AA27" si="9">T28+T29</f>
        <v>357185</v>
      </c>
      <c r="U27">
        <f t="shared" si="9"/>
        <v>359966</v>
      </c>
      <c r="V27">
        <f t="shared" si="9"/>
        <v>290690</v>
      </c>
      <c r="W27">
        <f t="shared" si="9"/>
        <v>362813</v>
      </c>
      <c r="X27">
        <f t="shared" si="9"/>
        <v>340426</v>
      </c>
      <c r="Y27">
        <f t="shared" si="9"/>
        <v>343177</v>
      </c>
      <c r="Z27">
        <f t="shared" si="9"/>
        <v>325824</v>
      </c>
      <c r="AA27">
        <f t="shared" si="9"/>
        <v>0</v>
      </c>
    </row>
    <row r="28" spans="1:27">
      <c r="B28" s="14" t="s">
        <v>24</v>
      </c>
      <c r="C28">
        <v>0</v>
      </c>
      <c r="D28">
        <v>0</v>
      </c>
      <c r="E28">
        <v>-2566</v>
      </c>
      <c r="F28">
        <v>0</v>
      </c>
      <c r="G28">
        <v>1628</v>
      </c>
      <c r="H28">
        <v>0</v>
      </c>
      <c r="I28">
        <v>0</v>
      </c>
      <c r="J28">
        <v>0</v>
      </c>
      <c r="K28">
        <v>0</v>
      </c>
      <c r="L28">
        <v>22648</v>
      </c>
      <c r="M28">
        <v>0</v>
      </c>
      <c r="N28">
        <v>0</v>
      </c>
      <c r="O28">
        <v>0</v>
      </c>
      <c r="P28">
        <v>0</v>
      </c>
      <c r="Q28">
        <v>447</v>
      </c>
      <c r="R28">
        <v>0</v>
      </c>
      <c r="S28">
        <v>0</v>
      </c>
      <c r="T28">
        <v>0</v>
      </c>
      <c r="U28">
        <v>0</v>
      </c>
      <c r="V28">
        <v>313</v>
      </c>
      <c r="W28">
        <v>0</v>
      </c>
      <c r="X28">
        <v>500</v>
      </c>
      <c r="Y28">
        <v>0</v>
      </c>
      <c r="Z28">
        <v>0</v>
      </c>
      <c r="AA28">
        <v>0</v>
      </c>
    </row>
    <row r="29" spans="1:27">
      <c r="B29" s="14" t="s">
        <v>25</v>
      </c>
      <c r="C29">
        <v>318843</v>
      </c>
      <c r="D29">
        <v>321207</v>
      </c>
      <c r="E29">
        <v>348511</v>
      </c>
      <c r="F29">
        <v>361942</v>
      </c>
      <c r="G29">
        <v>400024</v>
      </c>
      <c r="H29">
        <v>318288</v>
      </c>
      <c r="I29">
        <v>336978</v>
      </c>
      <c r="J29">
        <v>334070</v>
      </c>
      <c r="K29">
        <v>344927</v>
      </c>
      <c r="L29">
        <v>293767</v>
      </c>
      <c r="M29">
        <v>340601</v>
      </c>
      <c r="N29">
        <v>362984</v>
      </c>
      <c r="O29">
        <v>316302</v>
      </c>
      <c r="P29">
        <v>316584</v>
      </c>
      <c r="Q29">
        <v>297738</v>
      </c>
      <c r="R29">
        <v>335563</v>
      </c>
      <c r="S29">
        <v>356274</v>
      </c>
      <c r="T29">
        <v>357185</v>
      </c>
      <c r="U29">
        <v>359966</v>
      </c>
      <c r="V29">
        <v>290377</v>
      </c>
      <c r="W29">
        <v>362813</v>
      </c>
      <c r="X29">
        <v>339926</v>
      </c>
      <c r="Y29">
        <v>343177</v>
      </c>
      <c r="Z29">
        <v>325824</v>
      </c>
      <c r="AA29">
        <v>0</v>
      </c>
    </row>
    <row r="30" spans="1:27">
      <c r="B30" s="14"/>
    </row>
    <row r="31" spans="1:27">
      <c r="B31" s="3" t="s">
        <v>1</v>
      </c>
      <c r="C31" s="1">
        <f t="shared" ref="C31:J31" si="10">C15+C16+C17+C18+C19+C20+C21+C22+C23+C27</f>
        <v>479476</v>
      </c>
      <c r="D31" s="1">
        <f t="shared" si="10"/>
        <v>478657</v>
      </c>
      <c r="E31" s="1">
        <f t="shared" si="10"/>
        <v>475946</v>
      </c>
      <c r="F31" s="1">
        <f t="shared" si="10"/>
        <v>479692</v>
      </c>
      <c r="G31" s="1">
        <f t="shared" si="10"/>
        <v>500811</v>
      </c>
      <c r="H31" s="1">
        <f>H15+H16+H17+H18+H19+H20+H21+H22+H23+H27</f>
        <v>477788</v>
      </c>
      <c r="I31" s="1">
        <f t="shared" si="10"/>
        <v>477923</v>
      </c>
      <c r="J31" s="1">
        <f t="shared" si="10"/>
        <v>478675</v>
      </c>
      <c r="K31" s="1">
        <f t="shared" ref="K31:O31" si="11">K15+K16+K17+K18+K19+K20+K21+K22+K23+K27</f>
        <v>474751</v>
      </c>
      <c r="L31" s="1">
        <f t="shared" si="11"/>
        <v>477925</v>
      </c>
      <c r="M31" s="1">
        <f t="shared" si="11"/>
        <v>478081</v>
      </c>
      <c r="N31" s="1">
        <f t="shared" si="11"/>
        <v>479207</v>
      </c>
      <c r="O31" s="1">
        <f t="shared" si="11"/>
        <v>477646</v>
      </c>
      <c r="P31" s="1">
        <f>P15+P16+P17+P18+P19+P20+P21+P22+P23+P27</f>
        <v>487283</v>
      </c>
      <c r="Q31" s="1">
        <f t="shared" ref="Q31:X31" si="12">Q15+Q16+Q17+Q18+Q19+Q20+Q21+Q22+Q23+Q27</f>
        <v>477899</v>
      </c>
      <c r="R31" s="1">
        <f t="shared" si="12"/>
        <v>478163</v>
      </c>
      <c r="S31" s="1">
        <f t="shared" si="12"/>
        <v>478986</v>
      </c>
      <c r="T31" s="1">
        <f t="shared" si="12"/>
        <v>477715</v>
      </c>
      <c r="U31" s="1">
        <f t="shared" si="12"/>
        <v>478216</v>
      </c>
      <c r="V31" s="1">
        <f t="shared" si="12"/>
        <v>477765</v>
      </c>
      <c r="W31" s="1">
        <f t="shared" si="12"/>
        <v>477832</v>
      </c>
      <c r="X31" s="1">
        <f t="shared" si="12"/>
        <v>479166</v>
      </c>
      <c r="Y31" s="1">
        <f>Y15+Y16+Y17+Y18+Y19+Y20+Y21+Y22+Y23+Y27</f>
        <v>477619</v>
      </c>
      <c r="Z31" s="1">
        <f t="shared" ref="Z31" si="13">Z15+Z16+Z17+Z18+Z19+Z20+Z21+Z22+Z23+Z27</f>
        <v>479196</v>
      </c>
      <c r="AA31" s="1">
        <f>AA15+AA16+AA17+AA18+AA19+AA20+AA21+AA22+AA23+AA27</f>
        <v>0</v>
      </c>
    </row>
    <row r="33" spans="2:27">
      <c r="C33" s="18">
        <f t="shared" ref="C33:J33" si="14">C12-C31</f>
        <v>0</v>
      </c>
      <c r="D33" s="18">
        <f t="shared" si="14"/>
        <v>0</v>
      </c>
      <c r="E33" s="18">
        <f t="shared" si="14"/>
        <v>0</v>
      </c>
      <c r="F33" s="18">
        <f t="shared" si="14"/>
        <v>0</v>
      </c>
      <c r="G33" s="18">
        <f t="shared" si="14"/>
        <v>0</v>
      </c>
      <c r="H33" s="18">
        <f t="shared" si="14"/>
        <v>0</v>
      </c>
      <c r="I33" s="18">
        <f t="shared" si="14"/>
        <v>0</v>
      </c>
      <c r="J33" s="18">
        <f t="shared" si="14"/>
        <v>0</v>
      </c>
      <c r="K33" s="18">
        <f t="shared" ref="K33:S33" si="15">K12-K31</f>
        <v>0</v>
      </c>
      <c r="L33" s="18">
        <f t="shared" si="15"/>
        <v>0</v>
      </c>
      <c r="M33" s="18">
        <f t="shared" si="15"/>
        <v>0</v>
      </c>
      <c r="N33" s="18">
        <f t="shared" si="15"/>
        <v>0</v>
      </c>
      <c r="O33" s="18">
        <f t="shared" si="15"/>
        <v>0</v>
      </c>
      <c r="P33" s="18">
        <f t="shared" si="15"/>
        <v>0</v>
      </c>
      <c r="Q33" s="18">
        <f t="shared" si="15"/>
        <v>0</v>
      </c>
      <c r="R33" s="18">
        <f t="shared" si="15"/>
        <v>0</v>
      </c>
      <c r="S33" s="18">
        <f t="shared" si="15"/>
        <v>0</v>
      </c>
      <c r="T33" s="18">
        <f t="shared" ref="T33:AA33" si="16">T12-T31</f>
        <v>0</v>
      </c>
      <c r="U33" s="18">
        <f t="shared" si="16"/>
        <v>0</v>
      </c>
      <c r="V33" s="18">
        <f t="shared" si="16"/>
        <v>0</v>
      </c>
      <c r="W33" s="18">
        <f t="shared" si="16"/>
        <v>0</v>
      </c>
      <c r="X33" s="18">
        <f t="shared" si="16"/>
        <v>0</v>
      </c>
      <c r="Y33" s="18">
        <f t="shared" si="16"/>
        <v>0</v>
      </c>
      <c r="Z33" s="18">
        <f t="shared" si="16"/>
        <v>0</v>
      </c>
      <c r="AA33" s="18">
        <f t="shared" si="16"/>
        <v>0</v>
      </c>
    </row>
    <row r="34" spans="2:27">
      <c r="J34" t="s">
        <v>58</v>
      </c>
    </row>
    <row r="35" spans="2:27">
      <c r="J35">
        <v>3899</v>
      </c>
    </row>
    <row r="37" spans="2:27">
      <c r="B37" s="1" t="s">
        <v>110</v>
      </c>
    </row>
    <row r="39" spans="2:27">
      <c r="B39" t="s">
        <v>111</v>
      </c>
    </row>
    <row r="40" spans="2:27">
      <c r="B40" t="s">
        <v>113</v>
      </c>
    </row>
    <row r="41" spans="2:27">
      <c r="B41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D90"/>
  <sheetViews>
    <sheetView tabSelected="1" view="pageBreakPreview" zoomScale="106" zoomScaleNormal="96" zoomScaleSheetLayoutView="106" workbookViewId="0">
      <selection activeCell="C86" sqref="C86"/>
    </sheetView>
  </sheetViews>
  <sheetFormatPr defaultRowHeight="15"/>
  <cols>
    <col min="1" max="1" width="4" bestFit="1" customWidth="1"/>
    <col min="2" max="2" width="30" style="14" customWidth="1"/>
    <col min="3" max="3" width="24.140625" style="9" customWidth="1"/>
    <col min="4" max="4" width="18.85546875" style="9" customWidth="1"/>
  </cols>
  <sheetData>
    <row r="2" spans="1:4" ht="51.75" customHeight="1">
      <c r="A2" s="78" t="s">
        <v>211</v>
      </c>
      <c r="B2" s="79"/>
      <c r="C2" s="79"/>
      <c r="D2" s="79"/>
    </row>
    <row r="3" spans="1:4" ht="21">
      <c r="A3" s="36"/>
      <c r="B3" s="44" t="s">
        <v>182</v>
      </c>
      <c r="C3" s="45"/>
      <c r="D3" s="45"/>
    </row>
    <row r="4" spans="1:4" ht="21">
      <c r="A4" s="36"/>
      <c r="B4" s="46" t="s">
        <v>186</v>
      </c>
      <c r="C4" s="45"/>
      <c r="D4" s="45"/>
    </row>
    <row r="5" spans="1:4" ht="15.75">
      <c r="A5" s="28"/>
      <c r="B5" s="44" t="s">
        <v>183</v>
      </c>
      <c r="C5" s="47"/>
      <c r="D5" s="48"/>
    </row>
    <row r="6" spans="1:4" ht="15.75">
      <c r="A6" s="28"/>
      <c r="B6" s="44" t="s">
        <v>189</v>
      </c>
      <c r="C6" s="47"/>
      <c r="D6" s="48"/>
    </row>
    <row r="7" spans="1:4" ht="15.75">
      <c r="A7" s="28"/>
      <c r="B7" s="44" t="s">
        <v>184</v>
      </c>
      <c r="C7" s="48"/>
      <c r="D7" s="48"/>
    </row>
    <row r="8" spans="1:4" ht="15.75">
      <c r="A8" s="28"/>
      <c r="B8" s="44" t="s">
        <v>185</v>
      </c>
      <c r="C8" s="49"/>
      <c r="D8" s="49"/>
    </row>
    <row r="9" spans="1:4">
      <c r="A9" s="28"/>
      <c r="B9" s="50" t="s">
        <v>0</v>
      </c>
      <c r="C9" s="48"/>
      <c r="D9" s="48"/>
    </row>
    <row r="10" spans="1:4">
      <c r="A10" s="30">
        <v>1</v>
      </c>
      <c r="B10" s="51" t="s">
        <v>115</v>
      </c>
      <c r="C10" s="52"/>
      <c r="D10" s="52"/>
    </row>
    <row r="11" spans="1:4">
      <c r="A11" s="30"/>
      <c r="B11" s="53" t="s">
        <v>165</v>
      </c>
      <c r="C11" s="52"/>
      <c r="D11" s="52"/>
    </row>
    <row r="12" spans="1:4">
      <c r="A12" s="30"/>
      <c r="B12" s="53" t="s">
        <v>164</v>
      </c>
      <c r="C12" s="52"/>
      <c r="D12" s="52"/>
    </row>
    <row r="13" spans="1:4">
      <c r="A13" s="30">
        <v>2</v>
      </c>
      <c r="B13" s="54" t="s">
        <v>117</v>
      </c>
      <c r="C13" s="55"/>
      <c r="D13" s="55"/>
    </row>
    <row r="14" spans="1:4">
      <c r="A14" s="30">
        <v>3</v>
      </c>
      <c r="B14" s="54" t="s">
        <v>118</v>
      </c>
      <c r="C14" s="52"/>
      <c r="D14" s="52"/>
    </row>
    <row r="15" spans="1:4">
      <c r="A15" s="30">
        <v>4</v>
      </c>
      <c r="B15" s="54" t="s">
        <v>119</v>
      </c>
      <c r="C15" s="52"/>
      <c r="D15" s="52"/>
    </row>
    <row r="16" spans="1:4">
      <c r="A16" s="30">
        <v>5</v>
      </c>
      <c r="B16" s="54" t="s">
        <v>120</v>
      </c>
      <c r="C16" s="52"/>
      <c r="D16" s="52"/>
    </row>
    <row r="17" spans="1:4">
      <c r="A17" s="30">
        <v>6</v>
      </c>
      <c r="B17" s="54" t="s">
        <v>121</v>
      </c>
      <c r="C17" s="52"/>
      <c r="D17" s="52"/>
    </row>
    <row r="18" spans="1:4" ht="30">
      <c r="A18" s="30">
        <v>7</v>
      </c>
      <c r="B18" s="54" t="s">
        <v>192</v>
      </c>
      <c r="C18" s="52"/>
      <c r="D18" s="52"/>
    </row>
    <row r="19" spans="1:4" s="1" customFormat="1" ht="16.5" customHeight="1">
      <c r="A19" s="33" t="s">
        <v>169</v>
      </c>
      <c r="B19" s="56" t="s">
        <v>34</v>
      </c>
      <c r="C19" s="57">
        <f>SUM(C11:C17)</f>
        <v>0</v>
      </c>
      <c r="D19" s="57">
        <f t="shared" ref="D19" si="0">SUM(D11:D17)</f>
        <v>0</v>
      </c>
    </row>
    <row r="20" spans="1:4">
      <c r="A20" s="28"/>
      <c r="B20" s="56" t="s">
        <v>2</v>
      </c>
      <c r="C20" s="52"/>
      <c r="D20" s="52"/>
    </row>
    <row r="21" spans="1:4">
      <c r="A21" s="28"/>
      <c r="B21" s="58" t="s">
        <v>139</v>
      </c>
      <c r="C21" s="59"/>
      <c r="D21" s="52"/>
    </row>
    <row r="22" spans="1:4">
      <c r="A22" s="28">
        <v>1</v>
      </c>
      <c r="B22" s="54" t="s">
        <v>140</v>
      </c>
      <c r="C22" s="59"/>
      <c r="D22" s="52"/>
    </row>
    <row r="23" spans="1:4">
      <c r="A23" s="28">
        <f>A22+1</f>
        <v>2</v>
      </c>
      <c r="B23" s="54" t="s">
        <v>141</v>
      </c>
      <c r="C23" s="52"/>
      <c r="D23" s="52"/>
    </row>
    <row r="24" spans="1:4">
      <c r="A24" s="28">
        <f t="shared" ref="A24:A41" si="1">A23+1</f>
        <v>3</v>
      </c>
      <c r="B24" s="54" t="s">
        <v>142</v>
      </c>
      <c r="C24" s="52"/>
      <c r="D24" s="52"/>
    </row>
    <row r="25" spans="1:4">
      <c r="A25" s="28">
        <f t="shared" si="1"/>
        <v>4</v>
      </c>
      <c r="B25" s="54" t="s">
        <v>143</v>
      </c>
      <c r="C25" s="60"/>
      <c r="D25" s="57"/>
    </row>
    <row r="26" spans="1:4">
      <c r="A26" s="28">
        <f t="shared" si="1"/>
        <v>5</v>
      </c>
      <c r="B26" s="54" t="s">
        <v>144</v>
      </c>
      <c r="C26" s="52"/>
      <c r="D26" s="52"/>
    </row>
    <row r="27" spans="1:4">
      <c r="A27" s="28">
        <f t="shared" si="1"/>
        <v>6</v>
      </c>
      <c r="B27" s="54" t="s">
        <v>145</v>
      </c>
      <c r="C27" s="52"/>
      <c r="D27" s="52"/>
    </row>
    <row r="28" spans="1:4">
      <c r="A28" s="28">
        <f t="shared" si="1"/>
        <v>7</v>
      </c>
      <c r="B28" s="54" t="s">
        <v>146</v>
      </c>
      <c r="C28" s="52"/>
      <c r="D28" s="52"/>
    </row>
    <row r="29" spans="1:4">
      <c r="A29" s="28">
        <f t="shared" si="1"/>
        <v>8</v>
      </c>
      <c r="B29" s="54" t="s">
        <v>147</v>
      </c>
      <c r="C29" s="52"/>
      <c r="D29" s="52"/>
    </row>
    <row r="30" spans="1:4">
      <c r="A30" s="28">
        <f t="shared" si="1"/>
        <v>9</v>
      </c>
      <c r="B30" s="54" t="s">
        <v>148</v>
      </c>
      <c r="C30" s="52"/>
      <c r="D30" s="52"/>
    </row>
    <row r="31" spans="1:4">
      <c r="A31" s="28">
        <f t="shared" si="1"/>
        <v>10</v>
      </c>
      <c r="B31" s="54" t="s">
        <v>149</v>
      </c>
      <c r="C31" s="52"/>
      <c r="D31" s="52"/>
    </row>
    <row r="32" spans="1:4">
      <c r="A32" s="30">
        <f t="shared" si="1"/>
        <v>11</v>
      </c>
      <c r="B32" s="54" t="s">
        <v>180</v>
      </c>
      <c r="C32" s="52"/>
      <c r="D32" s="52"/>
    </row>
    <row r="33" spans="1:4" ht="14.25" customHeight="1">
      <c r="A33" s="30">
        <f t="shared" si="1"/>
        <v>12</v>
      </c>
      <c r="B33" s="54" t="s">
        <v>181</v>
      </c>
      <c r="C33" s="52"/>
      <c r="D33" s="52"/>
    </row>
    <row r="34" spans="1:4" ht="12" customHeight="1">
      <c r="A34" s="28">
        <f t="shared" si="1"/>
        <v>13</v>
      </c>
      <c r="B34" s="54" t="s">
        <v>150</v>
      </c>
      <c r="C34" s="52"/>
      <c r="D34" s="52"/>
    </row>
    <row r="35" spans="1:4">
      <c r="A35" s="28">
        <f t="shared" si="1"/>
        <v>14</v>
      </c>
      <c r="B35" s="54" t="s">
        <v>151</v>
      </c>
      <c r="C35" s="52"/>
      <c r="D35" s="52"/>
    </row>
    <row r="36" spans="1:4">
      <c r="A36" s="28">
        <f t="shared" si="1"/>
        <v>15</v>
      </c>
      <c r="B36" s="54" t="s">
        <v>152</v>
      </c>
      <c r="C36" s="52"/>
      <c r="D36" s="52"/>
    </row>
    <row r="37" spans="1:4">
      <c r="A37" s="28">
        <f t="shared" si="1"/>
        <v>16</v>
      </c>
      <c r="B37" s="54" t="s">
        <v>153</v>
      </c>
      <c r="C37" s="52"/>
      <c r="D37" s="52"/>
    </row>
    <row r="38" spans="1:4">
      <c r="A38" s="28">
        <f t="shared" si="1"/>
        <v>17</v>
      </c>
      <c r="B38" s="54" t="s">
        <v>155</v>
      </c>
      <c r="C38" s="52"/>
      <c r="D38" s="52"/>
    </row>
    <row r="39" spans="1:4">
      <c r="A39" s="28">
        <f t="shared" si="1"/>
        <v>18</v>
      </c>
      <c r="B39" s="54" t="s">
        <v>156</v>
      </c>
      <c r="C39" s="52"/>
      <c r="D39" s="52"/>
    </row>
    <row r="40" spans="1:4">
      <c r="A40" s="28">
        <f t="shared" si="1"/>
        <v>19</v>
      </c>
      <c r="B40" s="54" t="s">
        <v>116</v>
      </c>
      <c r="C40" s="52"/>
      <c r="D40" s="52"/>
    </row>
    <row r="41" spans="1:4">
      <c r="A41" s="28">
        <f t="shared" si="1"/>
        <v>20</v>
      </c>
      <c r="B41" s="54" t="s">
        <v>154</v>
      </c>
      <c r="C41" s="52"/>
      <c r="D41" s="52"/>
    </row>
    <row r="42" spans="1:4" ht="15.75" customHeight="1">
      <c r="A42" s="28">
        <v>21</v>
      </c>
      <c r="B42" s="54" t="s">
        <v>191</v>
      </c>
      <c r="C42" s="52"/>
      <c r="D42" s="52"/>
    </row>
    <row r="43" spans="1:4" s="1" customFormat="1">
      <c r="A43" s="33" t="s">
        <v>170</v>
      </c>
      <c r="B43" s="58" t="s">
        <v>157</v>
      </c>
      <c r="C43" s="57">
        <f>SUM(C22:C41)</f>
        <v>0</v>
      </c>
      <c r="D43" s="57">
        <f t="shared" ref="D43" si="2">SUM(D22:D41)</f>
        <v>0</v>
      </c>
    </row>
    <row r="44" spans="1:4">
      <c r="A44" s="28"/>
      <c r="B44" s="56" t="s">
        <v>158</v>
      </c>
      <c r="C44" s="52"/>
      <c r="D44" s="52"/>
    </row>
    <row r="45" spans="1:4">
      <c r="A45" s="28">
        <v>1</v>
      </c>
      <c r="B45" s="61" t="s">
        <v>122</v>
      </c>
      <c r="C45" s="52"/>
      <c r="D45" s="52"/>
    </row>
    <row r="46" spans="1:4">
      <c r="A46" s="28">
        <v>2</v>
      </c>
      <c r="B46" s="61" t="s">
        <v>123</v>
      </c>
      <c r="C46" s="52"/>
      <c r="D46" s="52"/>
    </row>
    <row r="47" spans="1:4">
      <c r="A47" s="28">
        <v>3</v>
      </c>
      <c r="B47" s="54" t="s">
        <v>124</v>
      </c>
      <c r="C47" s="52"/>
      <c r="D47" s="52"/>
    </row>
    <row r="48" spans="1:4">
      <c r="A48" s="30">
        <v>4</v>
      </c>
      <c r="B48" s="61" t="s">
        <v>125</v>
      </c>
      <c r="C48" s="52"/>
      <c r="D48" s="52"/>
    </row>
    <row r="49" spans="1:4">
      <c r="A49" s="28">
        <v>5</v>
      </c>
      <c r="B49" s="54" t="s">
        <v>126</v>
      </c>
      <c r="C49" s="52"/>
      <c r="D49" s="52"/>
    </row>
    <row r="50" spans="1:4">
      <c r="A50" s="30">
        <v>6</v>
      </c>
      <c r="B50" s="54" t="s">
        <v>127</v>
      </c>
      <c r="C50" s="52"/>
      <c r="D50" s="52"/>
    </row>
    <row r="51" spans="1:4">
      <c r="A51" s="30">
        <v>7</v>
      </c>
      <c r="B51" s="54" t="s">
        <v>128</v>
      </c>
      <c r="C51" s="52"/>
      <c r="D51" s="52"/>
    </row>
    <row r="52" spans="1:4">
      <c r="A52" s="30">
        <v>8</v>
      </c>
      <c r="B52" s="54" t="s">
        <v>129</v>
      </c>
      <c r="C52" s="52"/>
      <c r="D52" s="52"/>
    </row>
    <row r="53" spans="1:4">
      <c r="A53" s="30">
        <v>9</v>
      </c>
      <c r="B53" s="62" t="s">
        <v>130</v>
      </c>
      <c r="C53" s="52"/>
      <c r="D53" s="52"/>
    </row>
    <row r="54" spans="1:4">
      <c r="A54" s="30">
        <v>11</v>
      </c>
      <c r="B54" s="54" t="s">
        <v>131</v>
      </c>
      <c r="C54" s="52"/>
      <c r="D54" s="52"/>
    </row>
    <row r="55" spans="1:4">
      <c r="A55" s="30">
        <v>12</v>
      </c>
      <c r="B55" s="54" t="s">
        <v>132</v>
      </c>
      <c r="C55" s="52"/>
      <c r="D55" s="52"/>
    </row>
    <row r="56" spans="1:4">
      <c r="A56" s="30">
        <v>13</v>
      </c>
      <c r="B56" s="54" t="s">
        <v>133</v>
      </c>
      <c r="C56" s="52"/>
      <c r="D56" s="52"/>
    </row>
    <row r="57" spans="1:4">
      <c r="A57" s="30">
        <v>14</v>
      </c>
      <c r="B57" s="54" t="s">
        <v>134</v>
      </c>
      <c r="C57" s="52"/>
      <c r="D57" s="52"/>
    </row>
    <row r="58" spans="1:4">
      <c r="A58" s="28">
        <v>15</v>
      </c>
      <c r="B58" s="54" t="s">
        <v>135</v>
      </c>
      <c r="C58" s="52"/>
      <c r="D58" s="52"/>
    </row>
    <row r="59" spans="1:4">
      <c r="A59" s="28">
        <v>16</v>
      </c>
      <c r="B59" s="54" t="s">
        <v>136</v>
      </c>
      <c r="C59" s="52"/>
      <c r="D59" s="52"/>
    </row>
    <row r="60" spans="1:4">
      <c r="A60" s="30">
        <v>17</v>
      </c>
      <c r="B60" s="54" t="s">
        <v>137</v>
      </c>
      <c r="C60" s="52"/>
      <c r="D60" s="52"/>
    </row>
    <row r="61" spans="1:4">
      <c r="A61" s="30">
        <v>18</v>
      </c>
      <c r="B61" s="54" t="s">
        <v>138</v>
      </c>
      <c r="C61" s="52"/>
      <c r="D61" s="52"/>
    </row>
    <row r="62" spans="1:4">
      <c r="A62" s="33" t="s">
        <v>160</v>
      </c>
      <c r="B62" s="56" t="s">
        <v>159</v>
      </c>
      <c r="C62" s="52">
        <f>SUM(C45:C61)</f>
        <v>0</v>
      </c>
      <c r="D62" s="52">
        <f t="shared" ref="D62" si="3">SUM(D45:D61)</f>
        <v>0</v>
      </c>
    </row>
    <row r="63" spans="1:4">
      <c r="A63" s="28"/>
      <c r="B63" s="32"/>
      <c r="C63" s="31"/>
      <c r="D63" s="31"/>
    </row>
    <row r="64" spans="1:4" s="1" customFormat="1">
      <c r="A64" s="33" t="s">
        <v>172</v>
      </c>
      <c r="B64" s="56" t="s">
        <v>174</v>
      </c>
      <c r="C64" s="57">
        <f t="shared" ref="C64:D64" si="4">C43+C62</f>
        <v>0</v>
      </c>
      <c r="D64" s="57">
        <f t="shared" si="4"/>
        <v>0</v>
      </c>
    </row>
    <row r="65" spans="1:4">
      <c r="A65" s="28"/>
      <c r="B65" s="63"/>
      <c r="C65" s="52"/>
      <c r="D65" s="52"/>
    </row>
    <row r="66" spans="1:4" s="1" customFormat="1">
      <c r="A66" s="33" t="s">
        <v>173</v>
      </c>
      <c r="B66" s="64" t="s">
        <v>175</v>
      </c>
      <c r="C66" s="57">
        <f t="shared" ref="C66:D66" si="5">C19-C64</f>
        <v>0</v>
      </c>
      <c r="D66" s="57">
        <f t="shared" si="5"/>
        <v>0</v>
      </c>
    </row>
    <row r="67" spans="1:4">
      <c r="A67" s="28"/>
      <c r="B67" s="61" t="s">
        <v>24</v>
      </c>
      <c r="C67" s="52"/>
      <c r="D67" s="52"/>
    </row>
    <row r="68" spans="1:4" s="1" customFormat="1">
      <c r="A68" s="33"/>
      <c r="B68" s="56" t="s">
        <v>25</v>
      </c>
      <c r="C68" s="57"/>
      <c r="D68" s="57"/>
    </row>
    <row r="69" spans="1:4">
      <c r="A69" s="28"/>
      <c r="B69" s="53"/>
      <c r="C69" s="52"/>
      <c r="D69" s="52"/>
    </row>
    <row r="70" spans="1:4">
      <c r="A70" s="33" t="s">
        <v>176</v>
      </c>
      <c r="B70" s="56" t="s">
        <v>177</v>
      </c>
      <c r="C70" s="52">
        <f>C64+C66</f>
        <v>0</v>
      </c>
      <c r="D70" s="52">
        <f t="shared" ref="D70" si="6">D64+D66</f>
        <v>0</v>
      </c>
    </row>
    <row r="71" spans="1:4">
      <c r="A71" s="28"/>
      <c r="B71" s="61"/>
      <c r="C71" s="52"/>
      <c r="D71" s="52"/>
    </row>
    <row r="72" spans="1:4" ht="30">
      <c r="A72" s="41" t="s">
        <v>178</v>
      </c>
      <c r="B72" s="65" t="s">
        <v>188</v>
      </c>
      <c r="C72" s="52">
        <f t="shared" ref="C72:D72" si="7">C19-C70</f>
        <v>0</v>
      </c>
      <c r="D72" s="52">
        <f t="shared" si="7"/>
        <v>0</v>
      </c>
    </row>
    <row r="73" spans="1:4">
      <c r="A73" s="28"/>
      <c r="B73" s="61"/>
      <c r="C73" s="52"/>
      <c r="D73" s="52"/>
    </row>
    <row r="74" spans="1:4">
      <c r="B74" s="61"/>
      <c r="C74" s="52"/>
      <c r="D74" s="52"/>
    </row>
    <row r="75" spans="1:4">
      <c r="B75" s="61"/>
      <c r="C75" s="52"/>
      <c r="D75" s="52"/>
    </row>
    <row r="76" spans="1:4">
      <c r="B76" s="66" t="s">
        <v>190</v>
      </c>
      <c r="C76" s="52">
        <f>+C67+C68-C66</f>
        <v>0</v>
      </c>
      <c r="D76" s="52">
        <f t="shared" ref="D76" si="8">+D67+D68-D66</f>
        <v>0</v>
      </c>
    </row>
    <row r="77" spans="1:4">
      <c r="B77" s="61"/>
      <c r="C77" s="52"/>
      <c r="D77" s="52"/>
    </row>
    <row r="79" spans="1:4">
      <c r="A79" s="38">
        <v>1</v>
      </c>
      <c r="B79" s="28" t="s">
        <v>204</v>
      </c>
    </row>
    <row r="80" spans="1:4">
      <c r="A80" s="38" t="s">
        <v>205</v>
      </c>
      <c r="B80" s="28"/>
    </row>
    <row r="81" spans="1:4">
      <c r="A81" s="38" t="s">
        <v>206</v>
      </c>
      <c r="B81" s="28"/>
    </row>
    <row r="82" spans="1:4">
      <c r="A82" s="38" t="s">
        <v>207</v>
      </c>
      <c r="B82" s="28"/>
    </row>
    <row r="83" spans="1:4">
      <c r="A83" s="38"/>
      <c r="B83" s="28"/>
    </row>
    <row r="84" spans="1:4">
      <c r="A84" s="38">
        <v>2</v>
      </c>
      <c r="B84" s="28" t="s">
        <v>208</v>
      </c>
    </row>
    <row r="85" spans="1:4">
      <c r="A85" s="38" t="s">
        <v>205</v>
      </c>
      <c r="B85" s="28"/>
    </row>
    <row r="86" spans="1:4">
      <c r="A86" s="38" t="s">
        <v>206</v>
      </c>
      <c r="B86" s="28"/>
    </row>
    <row r="87" spans="1:4">
      <c r="A87" s="38" t="s">
        <v>207</v>
      </c>
      <c r="B87" s="28"/>
    </row>
    <row r="90" spans="1:4">
      <c r="A90" s="67" t="s">
        <v>209</v>
      </c>
      <c r="C90" s="77" t="s">
        <v>210</v>
      </c>
      <c r="D90" s="77"/>
    </row>
  </sheetData>
  <mergeCells count="2">
    <mergeCell ref="C90:D90"/>
    <mergeCell ref="A2:D2"/>
  </mergeCells>
  <pageMargins left="0.7" right="0.7" top="0.75" bottom="0.75" header="0.3" footer="0.3"/>
  <pageSetup paperSize="9" scale="98" orientation="portrait" verticalDpi="0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4"/>
  <sheetViews>
    <sheetView view="pageBreakPreview" zoomScale="60" workbookViewId="0">
      <selection activeCell="C66" sqref="C66"/>
    </sheetView>
  </sheetViews>
  <sheetFormatPr defaultRowHeight="15"/>
  <cols>
    <col min="1" max="1" width="3.5703125" style="27" bestFit="1" customWidth="1"/>
    <col min="2" max="2" width="39.5703125" customWidth="1"/>
    <col min="3" max="3" width="18" bestFit="1" customWidth="1"/>
    <col min="4" max="4" width="13.7109375" customWidth="1"/>
    <col min="5" max="5" width="17.7109375" customWidth="1"/>
    <col min="6" max="6" width="14.85546875" customWidth="1"/>
  </cols>
  <sheetData>
    <row r="2" spans="1:8" ht="40.5" customHeight="1">
      <c r="A2" s="34"/>
      <c r="B2" s="80" t="s">
        <v>212</v>
      </c>
      <c r="C2" s="81"/>
      <c r="D2" s="81"/>
      <c r="E2" s="81"/>
      <c r="F2" s="35"/>
    </row>
    <row r="3" spans="1:8" ht="21">
      <c r="A3" s="34"/>
      <c r="B3" s="82" t="s">
        <v>193</v>
      </c>
      <c r="C3" s="82"/>
      <c r="D3" s="82"/>
      <c r="E3" s="43"/>
      <c r="F3" s="35"/>
    </row>
    <row r="4" spans="1:8" ht="15.75">
      <c r="A4" s="34"/>
      <c r="B4" s="28"/>
      <c r="C4" s="37"/>
      <c r="D4" s="37"/>
      <c r="E4" s="28"/>
      <c r="F4" s="28"/>
    </row>
    <row r="5" spans="1:8" ht="15.75">
      <c r="A5" s="38"/>
      <c r="B5" s="44" t="s">
        <v>35</v>
      </c>
      <c r="C5" s="68"/>
      <c r="D5" s="28"/>
      <c r="E5" s="28"/>
      <c r="F5" s="28"/>
    </row>
    <row r="6" spans="1:8" ht="15.75">
      <c r="A6" s="38"/>
      <c r="B6" s="44" t="s">
        <v>194</v>
      </c>
      <c r="C6" s="68"/>
      <c r="D6" s="28"/>
      <c r="E6" s="28"/>
      <c r="F6" s="28"/>
    </row>
    <row r="7" spans="1:8" ht="15.75">
      <c r="A7" s="38"/>
      <c r="B7" s="44" t="s">
        <v>189</v>
      </c>
      <c r="C7" s="68"/>
      <c r="D7" s="28"/>
      <c r="E7" s="28"/>
      <c r="F7" s="28"/>
    </row>
    <row r="8" spans="1:8" ht="15.75">
      <c r="A8" s="38"/>
      <c r="B8" s="44" t="s">
        <v>162</v>
      </c>
      <c r="C8" s="48"/>
      <c r="D8" s="28"/>
      <c r="E8" s="28"/>
      <c r="F8" s="28"/>
    </row>
    <row r="9" spans="1:8" ht="15.75">
      <c r="A9" s="38"/>
      <c r="B9" s="44" t="s">
        <v>163</v>
      </c>
      <c r="C9" s="69"/>
      <c r="D9" s="28"/>
      <c r="E9" s="28"/>
      <c r="F9" s="28"/>
    </row>
    <row r="10" spans="1:8">
      <c r="A10" s="38"/>
      <c r="B10" s="50" t="s">
        <v>0</v>
      </c>
      <c r="C10" s="48" t="s">
        <v>161</v>
      </c>
      <c r="D10" s="29"/>
      <c r="E10" s="29"/>
      <c r="F10" s="29"/>
      <c r="G10" s="26"/>
      <c r="H10" s="26"/>
    </row>
    <row r="11" spans="1:8">
      <c r="A11" s="38">
        <v>1</v>
      </c>
      <c r="B11" s="51" t="s">
        <v>115</v>
      </c>
      <c r="C11" s="52"/>
      <c r="D11" s="28"/>
      <c r="E11" s="28"/>
      <c r="F11" s="28"/>
    </row>
    <row r="12" spans="1:8">
      <c r="A12" s="38"/>
      <c r="B12" s="53" t="s">
        <v>165</v>
      </c>
      <c r="C12" s="52"/>
      <c r="D12" s="28"/>
      <c r="E12" s="28"/>
      <c r="F12" s="28"/>
    </row>
    <row r="13" spans="1:8">
      <c r="A13" s="38"/>
      <c r="B13" s="53" t="s">
        <v>164</v>
      </c>
      <c r="C13" s="70"/>
      <c r="D13" s="28"/>
      <c r="E13" s="28"/>
      <c r="F13" s="28"/>
    </row>
    <row r="14" spans="1:8">
      <c r="A14" s="38">
        <v>2</v>
      </c>
      <c r="B14" s="54" t="s">
        <v>167</v>
      </c>
      <c r="C14" s="70"/>
      <c r="D14" s="28"/>
      <c r="E14" s="28"/>
      <c r="F14" s="28"/>
    </row>
    <row r="15" spans="1:8" ht="13.5" customHeight="1">
      <c r="A15" s="38">
        <v>3</v>
      </c>
      <c r="B15" s="54" t="s">
        <v>118</v>
      </c>
      <c r="C15" s="70"/>
      <c r="D15" s="28"/>
      <c r="E15" s="28"/>
      <c r="F15" s="28"/>
    </row>
    <row r="16" spans="1:8" ht="12.75" customHeight="1">
      <c r="A16" s="38">
        <v>4</v>
      </c>
      <c r="B16" s="54" t="s">
        <v>119</v>
      </c>
      <c r="C16" s="71"/>
      <c r="D16" s="28"/>
      <c r="E16" s="28"/>
      <c r="F16" s="28"/>
    </row>
    <row r="17" spans="1:6">
      <c r="A17" s="38">
        <v>5</v>
      </c>
      <c r="B17" s="54" t="s">
        <v>120</v>
      </c>
      <c r="C17" s="63"/>
      <c r="D17" s="28"/>
      <c r="E17" s="28"/>
      <c r="F17" s="28"/>
    </row>
    <row r="18" spans="1:6">
      <c r="A18" s="38">
        <v>6</v>
      </c>
      <c r="B18" s="54" t="s">
        <v>121</v>
      </c>
      <c r="C18" s="63"/>
      <c r="D18" s="28"/>
      <c r="E18" s="28"/>
      <c r="F18" s="28"/>
    </row>
    <row r="19" spans="1:6">
      <c r="A19" s="38"/>
      <c r="B19" s="63"/>
      <c r="C19" s="63"/>
      <c r="D19" s="28"/>
      <c r="E19" s="28"/>
      <c r="F19" s="28"/>
    </row>
    <row r="20" spans="1:6">
      <c r="A20" s="39" t="s">
        <v>169</v>
      </c>
      <c r="B20" s="72" t="str">
        <f>'School Format'!B19</f>
        <v>TOTAL RECEIPTS</v>
      </c>
      <c r="C20" s="73">
        <f>SUM(C12:C18)</f>
        <v>0</v>
      </c>
      <c r="D20" s="40">
        <f>SUM(D12:D18)</f>
        <v>0</v>
      </c>
      <c r="E20" s="28"/>
      <c r="F20" s="28"/>
    </row>
    <row r="21" spans="1:6">
      <c r="A21" s="38"/>
      <c r="B21" s="63"/>
      <c r="C21" s="63"/>
      <c r="D21" s="28"/>
      <c r="E21" s="28"/>
      <c r="F21" s="28"/>
    </row>
    <row r="22" spans="1:6">
      <c r="A22" s="38"/>
      <c r="B22" s="56" t="s">
        <v>2</v>
      </c>
      <c r="C22" s="63"/>
      <c r="D22" s="28"/>
      <c r="E22" s="28"/>
      <c r="F22" s="28"/>
    </row>
    <row r="23" spans="1:6">
      <c r="A23" s="38"/>
      <c r="B23" s="54"/>
      <c r="C23" s="63"/>
      <c r="D23" s="28"/>
      <c r="E23" s="28"/>
      <c r="F23" s="28"/>
    </row>
    <row r="24" spans="1:6">
      <c r="A24" s="38">
        <f>A23+1</f>
        <v>1</v>
      </c>
      <c r="B24" s="54" t="s">
        <v>142</v>
      </c>
      <c r="C24" s="63"/>
      <c r="D24" s="28"/>
      <c r="E24" s="28"/>
      <c r="F24" s="28"/>
    </row>
    <row r="25" spans="1:6">
      <c r="A25" s="38">
        <f>A24+1</f>
        <v>2</v>
      </c>
      <c r="B25" s="54" t="s">
        <v>199</v>
      </c>
      <c r="C25" s="63"/>
      <c r="D25" s="28"/>
      <c r="E25" s="28"/>
      <c r="F25" s="28"/>
    </row>
    <row r="26" spans="1:6">
      <c r="A26" s="38">
        <f t="shared" ref="A26:A43" si="0">A25+1</f>
        <v>3</v>
      </c>
      <c r="B26" s="54" t="s">
        <v>195</v>
      </c>
      <c r="C26" s="63"/>
      <c r="D26" s="28"/>
      <c r="E26" s="28"/>
      <c r="F26" s="28"/>
    </row>
    <row r="27" spans="1:6">
      <c r="A27" s="38">
        <f>A26+1</f>
        <v>4</v>
      </c>
      <c r="B27" s="54" t="s">
        <v>196</v>
      </c>
      <c r="C27" s="63"/>
      <c r="D27" s="28"/>
      <c r="E27" s="28"/>
      <c r="F27" s="28"/>
    </row>
    <row r="28" spans="1:6">
      <c r="A28" s="38">
        <f t="shared" si="0"/>
        <v>5</v>
      </c>
      <c r="B28" s="54" t="s">
        <v>197</v>
      </c>
      <c r="C28" s="63"/>
      <c r="D28" s="28"/>
      <c r="E28" s="28"/>
      <c r="F28" s="28"/>
    </row>
    <row r="29" spans="1:6">
      <c r="A29" s="38">
        <f t="shared" si="0"/>
        <v>6</v>
      </c>
      <c r="B29" s="74" t="s">
        <v>198</v>
      </c>
      <c r="C29" s="63"/>
      <c r="D29" s="28"/>
      <c r="E29" s="28"/>
      <c r="F29" s="28"/>
    </row>
    <row r="30" spans="1:6">
      <c r="A30" s="38">
        <f t="shared" si="0"/>
        <v>7</v>
      </c>
      <c r="B30" s="74" t="s">
        <v>200</v>
      </c>
      <c r="C30" s="63"/>
      <c r="D30" s="28"/>
      <c r="E30" s="28"/>
      <c r="F30" s="28"/>
    </row>
    <row r="31" spans="1:6">
      <c r="A31" s="38">
        <f t="shared" si="0"/>
        <v>8</v>
      </c>
      <c r="B31" s="54" t="s">
        <v>144</v>
      </c>
      <c r="C31" s="63"/>
      <c r="D31" s="28"/>
      <c r="E31" s="28"/>
      <c r="F31" s="28"/>
    </row>
    <row r="32" spans="1:6">
      <c r="A32" s="38">
        <f t="shared" si="0"/>
        <v>9</v>
      </c>
      <c r="B32" s="54" t="s">
        <v>145</v>
      </c>
      <c r="C32" s="63"/>
      <c r="D32" s="28"/>
      <c r="E32" s="28"/>
      <c r="F32" s="28"/>
    </row>
    <row r="33" spans="1:6">
      <c r="A33" s="38">
        <f t="shared" si="0"/>
        <v>10</v>
      </c>
      <c r="B33" s="54" t="s">
        <v>146</v>
      </c>
      <c r="C33" s="75"/>
      <c r="D33" s="28"/>
      <c r="E33" s="28"/>
      <c r="F33" s="28"/>
    </row>
    <row r="34" spans="1:6">
      <c r="A34" s="38">
        <f t="shared" si="0"/>
        <v>11</v>
      </c>
      <c r="B34" s="61" t="s">
        <v>179</v>
      </c>
      <c r="C34" s="75"/>
      <c r="D34" s="28"/>
      <c r="E34" s="28"/>
      <c r="F34" s="28"/>
    </row>
    <row r="35" spans="1:6">
      <c r="A35" s="38">
        <f t="shared" si="0"/>
        <v>12</v>
      </c>
      <c r="B35" s="54" t="s">
        <v>202</v>
      </c>
      <c r="C35" s="63"/>
      <c r="D35" s="28"/>
      <c r="E35" s="28"/>
      <c r="F35" s="28"/>
    </row>
    <row r="36" spans="1:6">
      <c r="A36" s="38">
        <f t="shared" si="0"/>
        <v>13</v>
      </c>
      <c r="B36" s="54" t="s">
        <v>147</v>
      </c>
      <c r="C36" s="63"/>
      <c r="D36" s="28"/>
      <c r="E36" s="28"/>
      <c r="F36" s="28"/>
    </row>
    <row r="37" spans="1:6" ht="15.75" customHeight="1">
      <c r="A37" s="38">
        <f t="shared" si="0"/>
        <v>14</v>
      </c>
      <c r="B37" s="54" t="s">
        <v>180</v>
      </c>
      <c r="C37" s="63"/>
      <c r="D37" s="28"/>
      <c r="E37" s="28"/>
      <c r="F37" s="28"/>
    </row>
    <row r="38" spans="1:6">
      <c r="A38" s="38">
        <f>A37+1</f>
        <v>15</v>
      </c>
      <c r="B38" s="54" t="s">
        <v>201</v>
      </c>
      <c r="C38" s="63"/>
      <c r="D38" s="28"/>
      <c r="E38" s="28"/>
      <c r="F38" s="28"/>
    </row>
    <row r="39" spans="1:6">
      <c r="A39" s="38">
        <f t="shared" si="0"/>
        <v>16</v>
      </c>
      <c r="B39" s="54" t="s">
        <v>203</v>
      </c>
      <c r="C39" s="63"/>
      <c r="D39" s="28"/>
      <c r="E39" s="28"/>
      <c r="F39" s="28"/>
    </row>
    <row r="40" spans="1:6">
      <c r="A40" s="38">
        <f>A39+1</f>
        <v>17</v>
      </c>
      <c r="B40" s="54" t="s">
        <v>155</v>
      </c>
      <c r="C40" s="63"/>
      <c r="D40" s="28"/>
      <c r="E40" s="28"/>
      <c r="F40" s="28"/>
    </row>
    <row r="41" spans="1:6">
      <c r="A41" s="38">
        <f t="shared" si="0"/>
        <v>18</v>
      </c>
      <c r="B41" s="54" t="s">
        <v>156</v>
      </c>
      <c r="C41" s="63"/>
      <c r="D41" s="28"/>
      <c r="E41" s="28"/>
      <c r="F41" s="28"/>
    </row>
    <row r="42" spans="1:6">
      <c r="A42" s="38">
        <f t="shared" si="0"/>
        <v>19</v>
      </c>
      <c r="B42" s="54" t="s">
        <v>116</v>
      </c>
      <c r="C42" s="63"/>
      <c r="D42" s="28"/>
      <c r="E42" s="28"/>
      <c r="F42" s="28"/>
    </row>
    <row r="43" spans="1:6">
      <c r="A43" s="38">
        <f t="shared" si="0"/>
        <v>20</v>
      </c>
      <c r="B43" s="54" t="s">
        <v>154</v>
      </c>
      <c r="C43" s="63"/>
      <c r="D43" s="28"/>
      <c r="E43" s="28"/>
      <c r="F43" s="28"/>
    </row>
    <row r="44" spans="1:6">
      <c r="A44" s="39" t="s">
        <v>170</v>
      </c>
      <c r="B44" s="58" t="s">
        <v>168</v>
      </c>
      <c r="C44" s="73">
        <f>SUM(C24:C43)</f>
        <v>0</v>
      </c>
      <c r="D44" s="40">
        <f>SUM(D24:D43)</f>
        <v>0</v>
      </c>
      <c r="E44" s="28"/>
      <c r="F44" s="28"/>
    </row>
    <row r="45" spans="1:6">
      <c r="A45" s="38"/>
      <c r="B45" s="63"/>
      <c r="C45" s="73"/>
      <c r="D45" s="28"/>
      <c r="E45" s="28"/>
      <c r="F45" s="28"/>
    </row>
    <row r="46" spans="1:6">
      <c r="A46" s="39" t="s">
        <v>160</v>
      </c>
      <c r="B46" s="42" t="s">
        <v>171</v>
      </c>
      <c r="C46" s="73">
        <f>C20-C44</f>
        <v>0</v>
      </c>
      <c r="D46" s="40">
        <f>D20-D44</f>
        <v>0</v>
      </c>
      <c r="E46" s="28"/>
      <c r="F46" s="28"/>
    </row>
    <row r="47" spans="1:6">
      <c r="A47" s="38"/>
      <c r="B47" s="63" t="s">
        <v>24</v>
      </c>
      <c r="C47" s="63"/>
      <c r="D47" s="28"/>
      <c r="E47" s="28"/>
      <c r="F47" s="28"/>
    </row>
    <row r="48" spans="1:6">
      <c r="A48" s="38"/>
      <c r="B48" s="63" t="s">
        <v>25</v>
      </c>
      <c r="C48" s="70"/>
      <c r="D48" s="28"/>
      <c r="E48" s="28"/>
      <c r="F48" s="28"/>
    </row>
    <row r="49" spans="1:6">
      <c r="A49" s="38"/>
      <c r="B49" s="63"/>
      <c r="C49" s="63"/>
      <c r="D49" s="28"/>
      <c r="E49" s="28"/>
      <c r="F49" s="28"/>
    </row>
    <row r="50" spans="1:6">
      <c r="A50" s="39" t="s">
        <v>172</v>
      </c>
      <c r="B50" s="72" t="s">
        <v>166</v>
      </c>
      <c r="C50" s="73">
        <f>C46+C44</f>
        <v>0</v>
      </c>
      <c r="D50" s="40">
        <f>D46+D44</f>
        <v>0</v>
      </c>
      <c r="E50" s="28"/>
      <c r="F50" s="28"/>
    </row>
    <row r="51" spans="1:6">
      <c r="A51" s="38"/>
      <c r="B51" s="63"/>
      <c r="C51" s="63"/>
      <c r="D51" s="28"/>
      <c r="E51" s="28"/>
      <c r="F51" s="28"/>
    </row>
    <row r="52" spans="1:6" ht="30">
      <c r="A52" s="39" t="s">
        <v>173</v>
      </c>
      <c r="B52" s="65" t="s">
        <v>187</v>
      </c>
      <c r="C52" s="76">
        <f>C20-C50</f>
        <v>0</v>
      </c>
      <c r="D52" s="40">
        <f>D20-D50</f>
        <v>0</v>
      </c>
      <c r="E52" s="28"/>
      <c r="F52" s="28"/>
    </row>
    <row r="53" spans="1:6">
      <c r="A53" s="38"/>
      <c r="B53" s="63"/>
      <c r="C53" s="63"/>
      <c r="D53" s="28"/>
      <c r="E53" s="28"/>
      <c r="F53" s="28"/>
    </row>
    <row r="54" spans="1:6">
      <c r="A54" s="38"/>
      <c r="B54" s="63"/>
      <c r="C54" s="63"/>
      <c r="D54" s="28"/>
      <c r="E54" s="28"/>
      <c r="F54" s="28"/>
    </row>
    <row r="55" spans="1:6">
      <c r="A55" s="38">
        <v>1</v>
      </c>
      <c r="B55" s="63" t="s">
        <v>204</v>
      </c>
      <c r="C55" s="63"/>
      <c r="D55" s="28"/>
      <c r="E55" s="28"/>
      <c r="F55" s="28"/>
    </row>
    <row r="56" spans="1:6">
      <c r="A56" s="38" t="s">
        <v>205</v>
      </c>
      <c r="B56" s="63"/>
      <c r="C56" s="63"/>
      <c r="D56" s="28"/>
      <c r="E56" s="28"/>
      <c r="F56" s="28"/>
    </row>
    <row r="57" spans="1:6">
      <c r="A57" s="38" t="s">
        <v>206</v>
      </c>
      <c r="B57" s="63"/>
      <c r="C57" s="63"/>
      <c r="D57" s="28"/>
      <c r="E57" s="28"/>
      <c r="F57" s="28"/>
    </row>
    <row r="58" spans="1:6">
      <c r="A58" s="38" t="s">
        <v>207</v>
      </c>
      <c r="B58" s="63"/>
      <c r="C58" s="63"/>
      <c r="D58" s="28"/>
      <c r="E58" s="28"/>
      <c r="F58" s="28"/>
    </row>
    <row r="59" spans="1:6">
      <c r="A59" s="38"/>
      <c r="B59" s="63"/>
      <c r="C59" s="63"/>
      <c r="D59" s="28"/>
      <c r="E59" s="28"/>
      <c r="F59" s="28"/>
    </row>
    <row r="60" spans="1:6">
      <c r="A60" s="38">
        <v>2</v>
      </c>
      <c r="B60" s="63" t="s">
        <v>208</v>
      </c>
      <c r="C60" s="63"/>
      <c r="D60" s="28"/>
      <c r="E60" s="28"/>
      <c r="F60" s="28"/>
    </row>
    <row r="61" spans="1:6">
      <c r="A61" s="38" t="s">
        <v>205</v>
      </c>
      <c r="B61" s="63"/>
      <c r="C61" s="63"/>
      <c r="D61" s="28"/>
      <c r="E61" s="28"/>
      <c r="F61" s="28"/>
    </row>
    <row r="62" spans="1:6">
      <c r="A62" s="38" t="s">
        <v>206</v>
      </c>
      <c r="B62" s="63"/>
      <c r="C62" s="63"/>
      <c r="D62" s="28"/>
      <c r="E62" s="28"/>
      <c r="F62" s="28"/>
    </row>
    <row r="63" spans="1:6">
      <c r="A63" s="38" t="s">
        <v>207</v>
      </c>
      <c r="B63" s="63"/>
      <c r="C63" s="63"/>
      <c r="D63" s="28"/>
      <c r="E63" s="28"/>
      <c r="F63" s="28"/>
    </row>
    <row r="64" spans="1:6">
      <c r="A64" s="67" t="s">
        <v>209</v>
      </c>
      <c r="B64" s="14"/>
      <c r="C64" s="77" t="s">
        <v>210</v>
      </c>
      <c r="D64" s="77"/>
      <c r="E64" s="28"/>
      <c r="F64" s="28"/>
    </row>
  </sheetData>
  <mergeCells count="3">
    <mergeCell ref="B2:E2"/>
    <mergeCell ref="B3:D3"/>
    <mergeCell ref="C64:D64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KADAPA</vt:lpstr>
      <vt:lpstr>KURNOOL</vt:lpstr>
      <vt:lpstr>ANANTPUR</vt:lpstr>
      <vt:lpstr>School Format</vt:lpstr>
      <vt:lpstr>Girls Hostels</vt:lpstr>
      <vt:lpstr>'School Format'!Print_Area</vt:lpstr>
      <vt:lpstr>'School Format'!Print_Titles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2019-06-07T05:48:41Z</dcterms:modified>
</cp:coreProperties>
</file>